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405" windowWidth="14805" windowHeight="7710" tabRatio="752" firstSheet="2" activeTab="3"/>
  </bookViews>
  <sheets>
    <sheet name="Assumptions Sheet" sheetId="25" r:id="rId1"/>
    <sheet name="Income statement" sheetId="7" r:id="rId2"/>
    <sheet name="Asset Schedule " sheetId="26" r:id="rId3"/>
    <sheet name="Valuation" sheetId="18" r:id="rId4"/>
    <sheet name="Cost Matrix" sheetId="15" r:id="rId5"/>
    <sheet name="ATF Fuel 2" sheetId="20" r:id="rId6"/>
    <sheet name="Balance sheet" sheetId="12" r:id="rId7"/>
    <sheet name="Revenue Matrix" sheetId="14" r:id="rId8"/>
    <sheet name="Debt schedule" sheetId="27" r:id="rId9"/>
    <sheet name="Incentive" sheetId="28" r:id="rId10"/>
    <sheet name="CashFlow Statement" sheetId="13" r:id="rId11"/>
    <sheet name="ATF fuel" sheetId="19" r:id="rId12"/>
  </sheets>
  <definedNames>
    <definedName name="_xlnm._FilterDatabase" localSheetId="11" hidden="1">'ATF fuel'!$A$1:$F$37</definedName>
  </definedNames>
  <calcPr calcId="144525"/>
</workbook>
</file>

<file path=xl/calcChain.xml><?xml version="1.0" encoding="utf-8"?>
<calcChain xmlns="http://schemas.openxmlformats.org/spreadsheetml/2006/main">
  <c r="B17" i="18" l="1"/>
  <c r="W60" i="25"/>
  <c r="X60" i="25" s="1"/>
  <c r="Y60" i="25" s="1"/>
  <c r="Z60" i="25" s="1"/>
  <c r="X59" i="25"/>
  <c r="Y59" i="25" s="1"/>
  <c r="Z59" i="25" s="1"/>
  <c r="W59" i="25"/>
  <c r="AN15" i="15"/>
  <c r="AN16" i="15" s="1"/>
  <c r="AM15" i="15"/>
  <c r="AM16" i="15" s="1"/>
  <c r="AL15" i="15"/>
  <c r="AL16" i="15" s="1"/>
  <c r="AK15" i="15"/>
  <c r="AK16" i="15" s="1"/>
  <c r="AK17" i="15" s="1"/>
  <c r="AL17" i="15" s="1"/>
  <c r="AM17" i="15" s="1"/>
  <c r="AN17" i="15" s="1"/>
  <c r="K18" i="14" l="1"/>
  <c r="T15" i="15"/>
  <c r="U15" i="15"/>
  <c r="V16" i="15" s="1"/>
  <c r="V15" i="15"/>
  <c r="S15" i="15"/>
  <c r="S16" i="15" s="1"/>
  <c r="S17" i="15" s="1"/>
  <c r="T17" i="15" s="1"/>
  <c r="U17" i="15" s="1"/>
  <c r="V17" i="15" s="1"/>
  <c r="T16" i="15"/>
  <c r="U16" i="15"/>
  <c r="L7" i="25" l="1"/>
  <c r="M7" i="25" s="1"/>
  <c r="N7" i="25" s="1"/>
  <c r="O7" i="25" s="1"/>
  <c r="P7" i="25" s="1"/>
  <c r="L5" i="25" l="1"/>
  <c r="L18" i="14" s="1"/>
  <c r="F98" i="20"/>
  <c r="F99" i="20" s="1"/>
  <c r="M5" i="25" l="1"/>
  <c r="K16" i="26"/>
  <c r="Q17" i="26"/>
  <c r="F9" i="25"/>
  <c r="M18" i="14" l="1"/>
  <c r="N5" i="25"/>
  <c r="Q24" i="18"/>
  <c r="Q25" i="18" s="1"/>
  <c r="Q26" i="18" s="1"/>
  <c r="Q27" i="18" s="1"/>
  <c r="Q28" i="18" s="1"/>
  <c r="Q29" i="18" s="1"/>
  <c r="Q30" i="18" s="1"/>
  <c r="Q31" i="18" s="1"/>
  <c r="Q32" i="18" s="1"/>
  <c r="Q33" i="18" s="1"/>
  <c r="Q34" i="18" s="1"/>
  <c r="Q35" i="18" s="1"/>
  <c r="Q36" i="18" s="1"/>
  <c r="S22" i="18"/>
  <c r="T22" i="18" s="1"/>
  <c r="U22" i="18" s="1"/>
  <c r="V22" i="18" s="1"/>
  <c r="W22" i="18" s="1"/>
  <c r="X22" i="18" s="1"/>
  <c r="Y22" i="18" s="1"/>
  <c r="Z22" i="18" s="1"/>
  <c r="AA22" i="18" s="1"/>
  <c r="AB22" i="18" s="1"/>
  <c r="O5" i="25" l="1"/>
  <c r="N18" i="14"/>
  <c r="L16" i="26"/>
  <c r="M16" i="26"/>
  <c r="N16" i="26"/>
  <c r="O16" i="26"/>
  <c r="K14" i="15"/>
  <c r="L14" i="15"/>
  <c r="P5" i="25" l="1"/>
  <c r="O18" i="14"/>
  <c r="O14" i="15"/>
  <c r="M14" i="15"/>
  <c r="N14" i="15"/>
  <c r="M29" i="15"/>
  <c r="N29" i="15" s="1"/>
  <c r="O29" i="15" s="1"/>
  <c r="L29" i="15"/>
  <c r="D33" i="18"/>
  <c r="E33" i="18"/>
  <c r="F33" i="18"/>
  <c r="G33" i="18"/>
  <c r="H33" i="18"/>
  <c r="I33" i="18"/>
  <c r="C33" i="18"/>
  <c r="D32" i="18"/>
  <c r="E32" i="18"/>
  <c r="F32" i="18"/>
  <c r="G32" i="18"/>
  <c r="H32" i="18"/>
  <c r="I32" i="18"/>
  <c r="C32" i="18"/>
  <c r="G30" i="18"/>
  <c r="E29" i="13"/>
  <c r="D30" i="18" s="1"/>
  <c r="F29" i="13"/>
  <c r="E30" i="18" s="1"/>
  <c r="G29" i="13"/>
  <c r="F30" i="18" s="1"/>
  <c r="H29" i="13"/>
  <c r="I29" i="13"/>
  <c r="H30" i="18" s="1"/>
  <c r="J29" i="13"/>
  <c r="I30" i="18" s="1"/>
  <c r="D29" i="13"/>
  <c r="C30" i="18" s="1"/>
  <c r="D29" i="18"/>
  <c r="E29" i="18"/>
  <c r="F29" i="18"/>
  <c r="G29" i="18"/>
  <c r="H29" i="18"/>
  <c r="I29" i="18"/>
  <c r="C29" i="18"/>
  <c r="K15" i="25"/>
  <c r="L15" i="25" s="1"/>
  <c r="M15" i="25" s="1"/>
  <c r="N15" i="25" s="1"/>
  <c r="O15" i="25" s="1"/>
  <c r="D57" i="12"/>
  <c r="E57" i="12"/>
  <c r="F57" i="12"/>
  <c r="G57" i="12"/>
  <c r="L20" i="25"/>
  <c r="M20" i="25" s="1"/>
  <c r="N20" i="25" s="1"/>
  <c r="O20" i="25" s="1"/>
  <c r="P20" i="25" s="1"/>
  <c r="E47" i="15" l="1"/>
  <c r="F47" i="15"/>
  <c r="F49" i="15" s="1"/>
  <c r="G47" i="15"/>
  <c r="H47" i="15"/>
  <c r="I47" i="15"/>
  <c r="J47" i="15"/>
  <c r="J49" i="15" s="1"/>
  <c r="K49" i="15" s="1"/>
  <c r="L49" i="15" s="1"/>
  <c r="M49" i="15" s="1"/>
  <c r="N49" i="15" s="1"/>
  <c r="O49" i="15" s="1"/>
  <c r="D47" i="15"/>
  <c r="E46" i="15"/>
  <c r="F46" i="15"/>
  <c r="G46" i="15"/>
  <c r="H46" i="15"/>
  <c r="I46" i="15"/>
  <c r="J46" i="15"/>
  <c r="D46" i="15"/>
  <c r="I49" i="15" l="1"/>
  <c r="E49" i="15"/>
  <c r="H49" i="15"/>
  <c r="K9" i="27"/>
  <c r="E56" i="12" l="1"/>
  <c r="F56" i="12"/>
  <c r="G56" i="12"/>
  <c r="H56" i="12"/>
  <c r="I56" i="12"/>
  <c r="D56" i="12"/>
  <c r="E55" i="12"/>
  <c r="F55" i="12"/>
  <c r="G55" i="12"/>
  <c r="H55" i="12"/>
  <c r="I55" i="12"/>
  <c r="J55" i="12"/>
  <c r="D55" i="12"/>
  <c r="J54" i="12"/>
  <c r="E54" i="12"/>
  <c r="F54" i="12"/>
  <c r="G54" i="12"/>
  <c r="H54" i="12"/>
  <c r="I54" i="12"/>
  <c r="D54" i="12"/>
  <c r="K54" i="12" s="1"/>
  <c r="L54" i="12" s="1"/>
  <c r="M54" i="12" s="1"/>
  <c r="N54" i="12" s="1"/>
  <c r="O54" i="12" s="1"/>
  <c r="F10" i="28"/>
  <c r="G10" i="28"/>
  <c r="H10" i="28"/>
  <c r="I10" i="28"/>
  <c r="J10" i="28"/>
  <c r="E10" i="28"/>
  <c r="J16" i="28"/>
  <c r="I16" i="28"/>
  <c r="H16" i="28"/>
  <c r="G16" i="28"/>
  <c r="F16" i="28"/>
  <c r="E16" i="28"/>
  <c r="J14" i="28"/>
  <c r="J12" i="28"/>
  <c r="I12" i="28"/>
  <c r="H12" i="28"/>
  <c r="G12" i="28"/>
  <c r="F12" i="28"/>
  <c r="F14" i="28" s="1"/>
  <c r="E12" i="28"/>
  <c r="K8" i="28"/>
  <c r="K24" i="12" s="1"/>
  <c r="D6" i="28"/>
  <c r="E5" i="28"/>
  <c r="E6" i="28" s="1"/>
  <c r="D13" i="27"/>
  <c r="O9" i="27"/>
  <c r="N9" i="27"/>
  <c r="M9" i="27"/>
  <c r="L9" i="27"/>
  <c r="K7" i="27"/>
  <c r="J7" i="27"/>
  <c r="J13" i="27" s="1"/>
  <c r="I7" i="27"/>
  <c r="I13" i="27" s="1"/>
  <c r="H7" i="27"/>
  <c r="H13" i="27" s="1"/>
  <c r="G7" i="27"/>
  <c r="G13" i="27" s="1"/>
  <c r="F7" i="27"/>
  <c r="F13" i="27" s="1"/>
  <c r="E7" i="27"/>
  <c r="E13" i="27" s="1"/>
  <c r="D6" i="27"/>
  <c r="E5" i="27"/>
  <c r="F5" i="27" s="1"/>
  <c r="K21" i="26"/>
  <c r="J21" i="26"/>
  <c r="J27" i="26" s="1"/>
  <c r="I21" i="26"/>
  <c r="I27" i="26" s="1"/>
  <c r="H21" i="26"/>
  <c r="H27" i="26" s="1"/>
  <c r="H16" i="26"/>
  <c r="O15" i="26"/>
  <c r="O9" i="26" s="1"/>
  <c r="O8" i="27" s="1"/>
  <c r="O39" i="13" s="1"/>
  <c r="N15" i="26"/>
  <c r="N9" i="26" s="1"/>
  <c r="N31" i="13" s="1"/>
  <c r="M33" i="18" s="1"/>
  <c r="M15" i="26"/>
  <c r="M9" i="26" s="1"/>
  <c r="L15" i="26"/>
  <c r="L9" i="26" s="1"/>
  <c r="L31" i="13" s="1"/>
  <c r="K33" i="18" s="1"/>
  <c r="K15" i="26"/>
  <c r="K9" i="26" s="1"/>
  <c r="K10" i="26" s="1"/>
  <c r="K8" i="26"/>
  <c r="J8" i="26"/>
  <c r="J18" i="26" s="1"/>
  <c r="I8" i="26"/>
  <c r="I11" i="26" s="1"/>
  <c r="H8" i="26"/>
  <c r="H11" i="26" s="1"/>
  <c r="D6" i="26"/>
  <c r="E5" i="26"/>
  <c r="F5" i="26" s="1"/>
  <c r="J24" i="26" l="1"/>
  <c r="K19" i="7"/>
  <c r="H14" i="28"/>
  <c r="L8" i="27"/>
  <c r="L39" i="13" s="1"/>
  <c r="O31" i="13"/>
  <c r="N33" i="18" s="1"/>
  <c r="M31" i="13"/>
  <c r="L33" i="18" s="1"/>
  <c r="M8" i="27"/>
  <c r="M39" i="13" s="1"/>
  <c r="N8" i="27"/>
  <c r="N39" i="13" s="1"/>
  <c r="K8" i="27"/>
  <c r="K39" i="13" s="1"/>
  <c r="K31" i="13"/>
  <c r="J33" i="18" s="1"/>
  <c r="K12" i="26"/>
  <c r="E14" i="28"/>
  <c r="I14" i="28"/>
  <c r="G14" i="28"/>
  <c r="F5" i="28"/>
  <c r="F6" i="27"/>
  <c r="G5" i="27"/>
  <c r="E6" i="27"/>
  <c r="F6" i="26"/>
  <c r="G5" i="26"/>
  <c r="E6" i="26"/>
  <c r="I18" i="26"/>
  <c r="I24" i="26"/>
  <c r="H18" i="26"/>
  <c r="H24" i="26"/>
  <c r="K23" i="26"/>
  <c r="K25" i="26" s="1"/>
  <c r="L21" i="26" l="1"/>
  <c r="K29" i="12"/>
  <c r="K22" i="7"/>
  <c r="J29" i="18" s="1"/>
  <c r="K10" i="27"/>
  <c r="K13" i="12" s="1"/>
  <c r="L8" i="26"/>
  <c r="K28" i="12"/>
  <c r="F6" i="28"/>
  <c r="G5" i="28"/>
  <c r="G6" i="27"/>
  <c r="H5" i="27"/>
  <c r="L23" i="26"/>
  <c r="L25" i="26" s="1"/>
  <c r="G6" i="26"/>
  <c r="H5" i="26"/>
  <c r="I26" i="7"/>
  <c r="J26" i="7"/>
  <c r="E10" i="14"/>
  <c r="F10" i="14"/>
  <c r="G10" i="14"/>
  <c r="H10" i="14"/>
  <c r="I10" i="14"/>
  <c r="J10" i="14"/>
  <c r="K10" i="14"/>
  <c r="D10" i="14"/>
  <c r="M5" i="18"/>
  <c r="B7" i="18"/>
  <c r="P17" i="18"/>
  <c r="S16" i="18"/>
  <c r="Q16" i="18"/>
  <c r="S15" i="18"/>
  <c r="Q15" i="18"/>
  <c r="S14" i="18"/>
  <c r="Q14" i="18"/>
  <c r="S13" i="18"/>
  <c r="Q13" i="18"/>
  <c r="S12" i="18"/>
  <c r="Q12" i="18"/>
  <c r="S11" i="18"/>
  <c r="Q11" i="18"/>
  <c r="S10" i="18"/>
  <c r="Q10" i="18"/>
  <c r="S9" i="18"/>
  <c r="Q9" i="18"/>
  <c r="S8" i="18"/>
  <c r="Q8" i="18"/>
  <c r="S7" i="18"/>
  <c r="Q7" i="18"/>
  <c r="S6" i="18"/>
  <c r="Q6" i="18"/>
  <c r="S5" i="18"/>
  <c r="Q5" i="18"/>
  <c r="S4" i="18"/>
  <c r="Q4" i="18"/>
  <c r="L65" i="25"/>
  <c r="M65" i="25"/>
  <c r="N65" i="25"/>
  <c r="O65" i="25"/>
  <c r="K65" i="25"/>
  <c r="H65" i="25"/>
  <c r="I65" i="25"/>
  <c r="J65" i="25"/>
  <c r="G65" i="25"/>
  <c r="M6" i="18"/>
  <c r="L62" i="25"/>
  <c r="M62" i="25"/>
  <c r="N62" i="25"/>
  <c r="O62" i="25"/>
  <c r="K62" i="25"/>
  <c r="H62" i="25"/>
  <c r="I62" i="25"/>
  <c r="J62" i="25"/>
  <c r="G62" i="25"/>
  <c r="H27" i="18" l="1"/>
  <c r="M21" i="26"/>
  <c r="M23" i="26" s="1"/>
  <c r="M25" i="26" s="1"/>
  <c r="L29" i="12"/>
  <c r="K12" i="27"/>
  <c r="L7" i="27"/>
  <c r="L10" i="27" s="1"/>
  <c r="L13" i="12" s="1"/>
  <c r="L10" i="26"/>
  <c r="L22" i="7" s="1"/>
  <c r="K29" i="18" s="1"/>
  <c r="H5" i="28"/>
  <c r="G6" i="28"/>
  <c r="H6" i="27"/>
  <c r="I5" i="27"/>
  <c r="H6" i="26"/>
  <c r="I5" i="26"/>
  <c r="S17" i="18"/>
  <c r="M7" i="18" s="1"/>
  <c r="K24" i="7" l="1"/>
  <c r="J32" i="18" s="1"/>
  <c r="K37" i="15"/>
  <c r="N21" i="26"/>
  <c r="M29" i="12"/>
  <c r="L12" i="27"/>
  <c r="M7" i="27"/>
  <c r="M10" i="27" s="1"/>
  <c r="M13" i="12" s="1"/>
  <c r="L12" i="26"/>
  <c r="L28" i="12" s="1"/>
  <c r="H6" i="28"/>
  <c r="I5" i="28"/>
  <c r="J5" i="27"/>
  <c r="I6" i="27"/>
  <c r="N23" i="26"/>
  <c r="N25" i="26" s="1"/>
  <c r="J5" i="26"/>
  <c r="J6" i="26" s="1"/>
  <c r="I6" i="26"/>
  <c r="G66" i="25"/>
  <c r="H66" i="25"/>
  <c r="I66" i="25"/>
  <c r="J66" i="25"/>
  <c r="K66" i="25"/>
  <c r="L66" i="25"/>
  <c r="M66" i="25"/>
  <c r="N66" i="25"/>
  <c r="O66" i="25"/>
  <c r="F66" i="25"/>
  <c r="L24" i="7" l="1"/>
  <c r="K32" i="18" s="1"/>
  <c r="L37" i="15"/>
  <c r="O21" i="26"/>
  <c r="N29" i="12"/>
  <c r="M12" i="27"/>
  <c r="N7" i="27"/>
  <c r="N10" i="27" s="1"/>
  <c r="N13" i="12" s="1"/>
  <c r="M8" i="26"/>
  <c r="M10" i="26" s="1"/>
  <c r="M22" i="7" s="1"/>
  <c r="L29" i="18" s="1"/>
  <c r="I6" i="28"/>
  <c r="J5" i="28"/>
  <c r="N12" i="27"/>
  <c r="J6" i="27"/>
  <c r="K5" i="27"/>
  <c r="O23" i="26"/>
  <c r="O25" i="26" s="1"/>
  <c r="O29" i="12" s="1"/>
  <c r="K5" i="26"/>
  <c r="F65" i="25"/>
  <c r="N24" i="7" l="1"/>
  <c r="M32" i="18" s="1"/>
  <c r="N37" i="15"/>
  <c r="M24" i="7"/>
  <c r="L32" i="18" s="1"/>
  <c r="M37" i="15"/>
  <c r="O7" i="27"/>
  <c r="O10" i="27" s="1"/>
  <c r="O13" i="12" s="1"/>
  <c r="M12" i="26"/>
  <c r="N8" i="26" s="1"/>
  <c r="J6" i="28"/>
  <c r="K5" i="28"/>
  <c r="K6" i="27"/>
  <c r="L5" i="27"/>
  <c r="L5" i="26"/>
  <c r="K6" i="26"/>
  <c r="P66" i="25"/>
  <c r="I6" i="18"/>
  <c r="F11" i="18"/>
  <c r="D20" i="18"/>
  <c r="E20" i="18" s="1"/>
  <c r="C21" i="18"/>
  <c r="M28" i="12" l="1"/>
  <c r="O12" i="27"/>
  <c r="N10" i="26"/>
  <c r="N22" i="7" s="1"/>
  <c r="M29" i="18" s="1"/>
  <c r="L5" i="28"/>
  <c r="K6" i="28"/>
  <c r="L6" i="27"/>
  <c r="M5" i="27"/>
  <c r="L6" i="26"/>
  <c r="M5" i="26"/>
  <c r="D21" i="18"/>
  <c r="E21" i="18"/>
  <c r="F20" i="18"/>
  <c r="O35" i="15"/>
  <c r="O12" i="7" s="1"/>
  <c r="N35" i="15"/>
  <c r="N12" i="7" s="1"/>
  <c r="M35" i="15"/>
  <c r="M12" i="7" s="1"/>
  <c r="L35" i="15"/>
  <c r="L12" i="7" s="1"/>
  <c r="K35" i="15"/>
  <c r="K12" i="7" s="1"/>
  <c r="D36" i="15"/>
  <c r="L39" i="15"/>
  <c r="M39" i="15"/>
  <c r="N39" i="15"/>
  <c r="O39" i="15"/>
  <c r="E40" i="15"/>
  <c r="F40" i="15"/>
  <c r="G40" i="15"/>
  <c r="H40" i="15"/>
  <c r="I40" i="15"/>
  <c r="J40" i="15"/>
  <c r="D40" i="15"/>
  <c r="K39" i="15"/>
  <c r="L42" i="15"/>
  <c r="L41" i="15" s="1"/>
  <c r="L13" i="7" s="1"/>
  <c r="M42" i="15"/>
  <c r="M41" i="15" s="1"/>
  <c r="M13" i="7" s="1"/>
  <c r="N42" i="15"/>
  <c r="N41" i="15" s="1"/>
  <c r="N13" i="7" s="1"/>
  <c r="O42" i="15"/>
  <c r="O41" i="15" s="1"/>
  <c r="O13" i="7" s="1"/>
  <c r="K42" i="15"/>
  <c r="K41" i="15" s="1"/>
  <c r="K13" i="7" s="1"/>
  <c r="L33" i="15"/>
  <c r="L32" i="15" s="1"/>
  <c r="L10" i="7" s="1"/>
  <c r="K32" i="15"/>
  <c r="K10" i="7" s="1"/>
  <c r="L28" i="15"/>
  <c r="L18" i="7" s="1"/>
  <c r="M28" i="15"/>
  <c r="M18" i="7" s="1"/>
  <c r="N28" i="15"/>
  <c r="N18" i="7" s="1"/>
  <c r="O28" i="15"/>
  <c r="O18" i="7" s="1"/>
  <c r="K28" i="15"/>
  <c r="K18" i="7" s="1"/>
  <c r="J33" i="15"/>
  <c r="I33" i="15"/>
  <c r="H33" i="15"/>
  <c r="G33" i="15"/>
  <c r="F33" i="15"/>
  <c r="E33" i="15"/>
  <c r="D33" i="15"/>
  <c r="J29" i="15"/>
  <c r="J27" i="15"/>
  <c r="I27" i="15"/>
  <c r="H27" i="15"/>
  <c r="G27" i="15"/>
  <c r="F27" i="15"/>
  <c r="E27" i="15"/>
  <c r="D27" i="15"/>
  <c r="I29" i="15"/>
  <c r="H29" i="15"/>
  <c r="G29" i="15"/>
  <c r="F29" i="15"/>
  <c r="E29" i="15"/>
  <c r="D29" i="15"/>
  <c r="J36" i="15"/>
  <c r="I36" i="15"/>
  <c r="H36" i="15"/>
  <c r="G36" i="15"/>
  <c r="F36" i="15"/>
  <c r="E36" i="15"/>
  <c r="J38" i="15"/>
  <c r="I38" i="15"/>
  <c r="H38" i="15"/>
  <c r="G38" i="15"/>
  <c r="F38" i="15"/>
  <c r="E38" i="15"/>
  <c r="D38" i="15"/>
  <c r="H41" i="15"/>
  <c r="H42" i="15" s="1"/>
  <c r="I41" i="15"/>
  <c r="I42" i="15" s="1"/>
  <c r="J41" i="15"/>
  <c r="J42" i="15" s="1"/>
  <c r="E73" i="25"/>
  <c r="E41" i="15" s="1"/>
  <c r="F73" i="25"/>
  <c r="F41" i="15" s="1"/>
  <c r="F42" i="15" s="1"/>
  <c r="G73" i="25"/>
  <c r="G41" i="15" s="1"/>
  <c r="G42" i="15" s="1"/>
  <c r="D73" i="25"/>
  <c r="D41" i="15" s="1"/>
  <c r="D42" i="15" s="1"/>
  <c r="H30" i="15"/>
  <c r="I30" i="15"/>
  <c r="J30" i="15"/>
  <c r="E30" i="15"/>
  <c r="F30" i="15"/>
  <c r="G30" i="15"/>
  <c r="D30" i="15"/>
  <c r="D57" i="25"/>
  <c r="E57" i="25"/>
  <c r="F57" i="25"/>
  <c r="G57" i="25"/>
  <c r="H57" i="25"/>
  <c r="I57" i="25"/>
  <c r="J57" i="25"/>
  <c r="C57" i="25"/>
  <c r="D56" i="25"/>
  <c r="D55" i="25" s="1"/>
  <c r="E56" i="25"/>
  <c r="E55" i="25" s="1"/>
  <c r="F56" i="25"/>
  <c r="F55" i="25" s="1"/>
  <c r="G56" i="25"/>
  <c r="G55" i="25" s="1"/>
  <c r="C56" i="25"/>
  <c r="C55" i="25" s="1"/>
  <c r="O24" i="7" l="1"/>
  <c r="N32" i="18" s="1"/>
  <c r="O37" i="15"/>
  <c r="K20" i="7"/>
  <c r="K14" i="7"/>
  <c r="L14" i="7"/>
  <c r="N12" i="26"/>
  <c r="O8" i="26" s="1"/>
  <c r="O10" i="26" s="1"/>
  <c r="L6" i="28"/>
  <c r="M5" i="28"/>
  <c r="N5" i="27"/>
  <c r="M6" i="27"/>
  <c r="N5" i="26"/>
  <c r="M6" i="26"/>
  <c r="E31" i="15"/>
  <c r="E18" i="12"/>
  <c r="E19" i="12" s="1"/>
  <c r="I31" i="15"/>
  <c r="I18" i="12"/>
  <c r="I19" i="12" s="1"/>
  <c r="G31" i="15"/>
  <c r="G18" i="12"/>
  <c r="G19" i="12" s="1"/>
  <c r="F31" i="15"/>
  <c r="F18" i="12"/>
  <c r="F19" i="12" s="1"/>
  <c r="H31" i="15"/>
  <c r="H18" i="12"/>
  <c r="H19" i="12" s="1"/>
  <c r="D31" i="15"/>
  <c r="D18" i="12"/>
  <c r="D19" i="12" s="1"/>
  <c r="J31" i="15"/>
  <c r="J18" i="12"/>
  <c r="J19" i="12" s="1"/>
  <c r="I43" i="15"/>
  <c r="E42" i="15"/>
  <c r="E43" i="15"/>
  <c r="M33" i="15"/>
  <c r="D43" i="15"/>
  <c r="G43" i="15"/>
  <c r="H43" i="15"/>
  <c r="J43" i="15"/>
  <c r="F43" i="15"/>
  <c r="F21" i="18"/>
  <c r="G20" i="18"/>
  <c r="N57" i="25"/>
  <c r="O63" i="25"/>
  <c r="N63" i="25"/>
  <c r="M63" i="25"/>
  <c r="L63" i="25"/>
  <c r="K63" i="25"/>
  <c r="J63" i="25"/>
  <c r="I63" i="25"/>
  <c r="H63" i="25"/>
  <c r="G63" i="25"/>
  <c r="F62" i="25"/>
  <c r="F63" i="25" s="1"/>
  <c r="L23" i="12" l="1"/>
  <c r="K23" i="12"/>
  <c r="N28" i="12"/>
  <c r="O12" i="26"/>
  <c r="O28" i="12" s="1"/>
  <c r="O22" i="7"/>
  <c r="N29" i="18" s="1"/>
  <c r="M6" i="28"/>
  <c r="N5" i="28"/>
  <c r="N6" i="27"/>
  <c r="O5" i="27"/>
  <c r="O6" i="27" s="1"/>
  <c r="N6" i="26"/>
  <c r="O5" i="26"/>
  <c r="O6" i="26" s="1"/>
  <c r="N33" i="15"/>
  <c r="M32" i="15"/>
  <c r="G21" i="18"/>
  <c r="H20" i="18"/>
  <c r="P63" i="25"/>
  <c r="M4" i="18" s="1"/>
  <c r="D58" i="25"/>
  <c r="E58" i="25"/>
  <c r="F58" i="25"/>
  <c r="G58" i="25"/>
  <c r="H58" i="25"/>
  <c r="I58" i="25"/>
  <c r="J58" i="25"/>
  <c r="C58" i="25"/>
  <c r="C59" i="25" s="1"/>
  <c r="D59" i="25"/>
  <c r="E59" i="25"/>
  <c r="F59" i="25"/>
  <c r="G59" i="25"/>
  <c r="J50" i="25"/>
  <c r="J56" i="25" s="1"/>
  <c r="J55" i="25" s="1"/>
  <c r="I50" i="25"/>
  <c r="I56" i="25" s="1"/>
  <c r="I55" i="25" s="1"/>
  <c r="H50" i="25"/>
  <c r="H56" i="25" s="1"/>
  <c r="H55" i="25" s="1"/>
  <c r="D49" i="25"/>
  <c r="E49" i="25" s="1"/>
  <c r="F49" i="25" s="1"/>
  <c r="G49" i="25" s="1"/>
  <c r="H49" i="25" s="1"/>
  <c r="I49" i="25" s="1"/>
  <c r="J49" i="25" s="1"/>
  <c r="J9" i="15"/>
  <c r="J11" i="15" s="1"/>
  <c r="K9" i="15"/>
  <c r="K9" i="25" s="1"/>
  <c r="L11" i="15"/>
  <c r="M11" i="15" s="1"/>
  <c r="N11" i="15" s="1"/>
  <c r="O11" i="15" s="1"/>
  <c r="C9" i="25"/>
  <c r="D9" i="25"/>
  <c r="G9" i="25"/>
  <c r="H9" i="25"/>
  <c r="I9" i="25"/>
  <c r="J9" i="25"/>
  <c r="E9" i="25"/>
  <c r="L31" i="25"/>
  <c r="M31" i="25" s="1"/>
  <c r="N31" i="25" s="1"/>
  <c r="O31" i="25" s="1"/>
  <c r="P31" i="25" s="1"/>
  <c r="D31" i="25"/>
  <c r="E31" i="25"/>
  <c r="F31" i="25"/>
  <c r="G31" i="25"/>
  <c r="H31" i="25"/>
  <c r="I31" i="25"/>
  <c r="J31" i="25"/>
  <c r="D29" i="25"/>
  <c r="E29" i="25"/>
  <c r="F29" i="25"/>
  <c r="G29" i="25"/>
  <c r="H29" i="25"/>
  <c r="I29" i="25"/>
  <c r="J29" i="25"/>
  <c r="K29" i="25" s="1"/>
  <c r="L29" i="25" s="1"/>
  <c r="M29" i="25" s="1"/>
  <c r="N29" i="25" s="1"/>
  <c r="O29" i="25" s="1"/>
  <c r="P29" i="25" s="1"/>
  <c r="C31" i="25"/>
  <c r="C29" i="25"/>
  <c r="J27" i="25"/>
  <c r="M10" i="7" l="1"/>
  <c r="M14" i="7" s="1"/>
  <c r="N6" i="28"/>
  <c r="O5" i="28"/>
  <c r="O6" i="28" s="1"/>
  <c r="H10" i="25"/>
  <c r="O33" i="15"/>
  <c r="O32" i="15" s="1"/>
  <c r="N32" i="15"/>
  <c r="C10" i="25"/>
  <c r="F10" i="25"/>
  <c r="D10" i="25"/>
  <c r="I20" i="18"/>
  <c r="H21" i="18"/>
  <c r="J59" i="25"/>
  <c r="I59" i="25"/>
  <c r="H59" i="25"/>
  <c r="E10" i="25"/>
  <c r="I10" i="25"/>
  <c r="G10" i="25"/>
  <c r="J10" i="25"/>
  <c r="AO7" i="20"/>
  <c r="AO8" i="20" s="1"/>
  <c r="AO10" i="20" s="1"/>
  <c r="AN7" i="20"/>
  <c r="AN8" i="20" s="1"/>
  <c r="AN10" i="20" s="1"/>
  <c r="AO12" i="20"/>
  <c r="AR9" i="20"/>
  <c r="AS9" i="20" s="1"/>
  <c r="N10" i="7" l="1"/>
  <c r="N14" i="7" s="1"/>
  <c r="O10" i="7"/>
  <c r="O14" i="7" s="1"/>
  <c r="M23" i="12"/>
  <c r="I21" i="18"/>
  <c r="J20" i="18"/>
  <c r="J21" i="18" s="1"/>
  <c r="J34" i="25"/>
  <c r="J40" i="25" s="1"/>
  <c r="I40" i="25"/>
  <c r="I26" i="25" s="1"/>
  <c r="I27" i="25" s="1"/>
  <c r="H40" i="25"/>
  <c r="H26" i="25" s="1"/>
  <c r="H27" i="25" s="1"/>
  <c r="K18" i="25"/>
  <c r="K14" i="14"/>
  <c r="K10" i="28" s="1"/>
  <c r="K12" i="28" s="1"/>
  <c r="K7" i="28" s="1"/>
  <c r="K2" i="25"/>
  <c r="K4" i="25" s="1"/>
  <c r="E16" i="25"/>
  <c r="F16" i="25"/>
  <c r="G16" i="25"/>
  <c r="H16" i="25"/>
  <c r="I16" i="25"/>
  <c r="J16" i="25"/>
  <c r="D16" i="25"/>
  <c r="E3" i="25"/>
  <c r="F3" i="25"/>
  <c r="G3" i="25"/>
  <c r="H3" i="25"/>
  <c r="I3" i="25"/>
  <c r="J3" i="25"/>
  <c r="D3" i="25"/>
  <c r="C7" i="25"/>
  <c r="D7" i="25"/>
  <c r="E7" i="25"/>
  <c r="F7" i="25"/>
  <c r="G7" i="25"/>
  <c r="I7" i="25"/>
  <c r="J7" i="25"/>
  <c r="H7" i="25"/>
  <c r="D20" i="25"/>
  <c r="G40" i="25"/>
  <c r="G26" i="25" s="1"/>
  <c r="G27" i="25" s="1"/>
  <c r="F40" i="25"/>
  <c r="F26" i="25" s="1"/>
  <c r="F27" i="25" s="1"/>
  <c r="E40" i="25"/>
  <c r="E26" i="25" s="1"/>
  <c r="E27" i="25" s="1"/>
  <c r="D40" i="25"/>
  <c r="D26" i="25" s="1"/>
  <c r="D27" i="25" s="1"/>
  <c r="C40" i="25"/>
  <c r="C26" i="25" s="1"/>
  <c r="C20" i="25"/>
  <c r="C19" i="25" s="1"/>
  <c r="J18" i="25"/>
  <c r="J19" i="25" s="1"/>
  <c r="I18" i="25"/>
  <c r="I19" i="25" s="1"/>
  <c r="H18" i="25"/>
  <c r="H19" i="25" s="1"/>
  <c r="G18" i="25"/>
  <c r="G19" i="25" s="1"/>
  <c r="F18" i="25"/>
  <c r="F19" i="25" s="1"/>
  <c r="E18" i="25"/>
  <c r="E19" i="25" s="1"/>
  <c r="D18" i="25"/>
  <c r="D19" i="25" s="1"/>
  <c r="K24" i="25" l="1"/>
  <c r="K16" i="12"/>
  <c r="K30" i="15" s="1"/>
  <c r="L8" i="28"/>
  <c r="N23" i="12"/>
  <c r="O23" i="12"/>
  <c r="K17" i="14"/>
  <c r="K14" i="25"/>
  <c r="L2" i="25"/>
  <c r="C32" i="25"/>
  <c r="C48" i="25" s="1"/>
  <c r="C27" i="25"/>
  <c r="K19" i="14"/>
  <c r="K13" i="14"/>
  <c r="K31" i="15" l="1"/>
  <c r="L19" i="7"/>
  <c r="L20" i="7" s="1"/>
  <c r="L14" i="25" s="1"/>
  <c r="L24" i="12"/>
  <c r="K30" i="25"/>
  <c r="L4" i="25"/>
  <c r="L17" i="14" s="1"/>
  <c r="M2" i="25"/>
  <c r="L13" i="14"/>
  <c r="K28" i="25"/>
  <c r="K9" i="14" s="1"/>
  <c r="K6" i="25"/>
  <c r="L19" i="14"/>
  <c r="K26" i="25" l="1"/>
  <c r="K8" i="14" s="1"/>
  <c r="K8" i="7"/>
  <c r="L10" i="14"/>
  <c r="L24" i="25"/>
  <c r="L26" i="25" s="1"/>
  <c r="L8" i="14" s="1"/>
  <c r="K7" i="7"/>
  <c r="K7" i="14"/>
  <c r="N2" i="25"/>
  <c r="M4" i="25"/>
  <c r="M17" i="14" s="1"/>
  <c r="M13" i="14"/>
  <c r="K32" i="25"/>
  <c r="J23" i="18" s="1"/>
  <c r="M19" i="14"/>
  <c r="K9" i="7" l="1"/>
  <c r="K11" i="25" s="1"/>
  <c r="K42" i="12"/>
  <c r="K44" i="12"/>
  <c r="L28" i="25"/>
  <c r="L9" i="14" s="1"/>
  <c r="L7" i="14"/>
  <c r="L6" i="25"/>
  <c r="L30" i="25"/>
  <c r="N4" i="25"/>
  <c r="N17" i="14" s="1"/>
  <c r="N13" i="14"/>
  <c r="O2" i="25"/>
  <c r="M24" i="25"/>
  <c r="N19" i="14"/>
  <c r="K15" i="7" l="1"/>
  <c r="L7" i="7"/>
  <c r="L42" i="12" s="1"/>
  <c r="L8" i="7"/>
  <c r="M10" i="14"/>
  <c r="M7" i="14"/>
  <c r="L32" i="25"/>
  <c r="K23" i="18" s="1"/>
  <c r="N24" i="25"/>
  <c r="O4" i="25"/>
  <c r="O17" i="14" s="1"/>
  <c r="O13" i="14"/>
  <c r="P2" i="25"/>
  <c r="Q11" i="25" s="1"/>
  <c r="M6" i="25"/>
  <c r="M30" i="25"/>
  <c r="M26" i="25"/>
  <c r="M8" i="14" s="1"/>
  <c r="M28" i="25"/>
  <c r="M9" i="14" s="1"/>
  <c r="O19" i="14"/>
  <c r="C3" i="20"/>
  <c r="C4" i="20"/>
  <c r="C5" i="20"/>
  <c r="C6" i="20"/>
  <c r="C7" i="20"/>
  <c r="C8" i="20"/>
  <c r="C9" i="20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67" i="20"/>
  <c r="C68" i="20"/>
  <c r="C69" i="20"/>
  <c r="C70" i="20"/>
  <c r="C71" i="20"/>
  <c r="C72" i="20"/>
  <c r="C73" i="20"/>
  <c r="C74" i="20"/>
  <c r="C75" i="20"/>
  <c r="C76" i="20"/>
  <c r="C77" i="20"/>
  <c r="C78" i="20"/>
  <c r="C79" i="20"/>
  <c r="C80" i="20"/>
  <c r="C81" i="20"/>
  <c r="C82" i="20"/>
  <c r="C83" i="20"/>
  <c r="C84" i="20"/>
  <c r="C85" i="20"/>
  <c r="C86" i="20"/>
  <c r="C87" i="20"/>
  <c r="C88" i="20"/>
  <c r="C89" i="20"/>
  <c r="C90" i="20"/>
  <c r="C91" i="20"/>
  <c r="C92" i="20"/>
  <c r="C93" i="20"/>
  <c r="C94" i="20"/>
  <c r="H98" i="20"/>
  <c r="H99" i="20"/>
  <c r="H97" i="20"/>
  <c r="H96" i="20"/>
  <c r="H3" i="20"/>
  <c r="H4" i="20"/>
  <c r="H5" i="20"/>
  <c r="H6" i="20"/>
  <c r="H7" i="20"/>
  <c r="H8" i="20"/>
  <c r="H9" i="20"/>
  <c r="H10" i="20"/>
  <c r="H11" i="20"/>
  <c r="H12" i="20"/>
  <c r="H13" i="20"/>
  <c r="H14" i="20"/>
  <c r="H15" i="20"/>
  <c r="H16" i="20"/>
  <c r="H17" i="20"/>
  <c r="H18" i="20"/>
  <c r="H19" i="20"/>
  <c r="H20" i="20"/>
  <c r="H21" i="20"/>
  <c r="H22" i="20"/>
  <c r="H23" i="20"/>
  <c r="H24" i="20"/>
  <c r="H25" i="20"/>
  <c r="H26" i="20"/>
  <c r="H27" i="20"/>
  <c r="H28" i="20"/>
  <c r="H29" i="20"/>
  <c r="H30" i="20"/>
  <c r="H31" i="20"/>
  <c r="H32" i="20"/>
  <c r="H33" i="20"/>
  <c r="H34" i="20"/>
  <c r="H35" i="20"/>
  <c r="H36" i="20"/>
  <c r="H37" i="20"/>
  <c r="H38" i="20"/>
  <c r="H39" i="20"/>
  <c r="H40" i="20"/>
  <c r="H41" i="20"/>
  <c r="H42" i="20"/>
  <c r="H43" i="20"/>
  <c r="H44" i="20"/>
  <c r="H45" i="20"/>
  <c r="H46" i="20"/>
  <c r="H47" i="20"/>
  <c r="H48" i="20"/>
  <c r="H49" i="20"/>
  <c r="H50" i="20"/>
  <c r="H51" i="20"/>
  <c r="H52" i="20"/>
  <c r="H53" i="20"/>
  <c r="H54" i="20"/>
  <c r="H55" i="20"/>
  <c r="H56" i="20"/>
  <c r="H57" i="20"/>
  <c r="H58" i="20"/>
  <c r="H59" i="20"/>
  <c r="H60" i="20"/>
  <c r="H61" i="20"/>
  <c r="H62" i="20"/>
  <c r="H63" i="20"/>
  <c r="H64" i="20"/>
  <c r="H65" i="20"/>
  <c r="H66" i="20"/>
  <c r="H67" i="20"/>
  <c r="H68" i="20"/>
  <c r="H69" i="20"/>
  <c r="H70" i="20"/>
  <c r="H71" i="20"/>
  <c r="H72" i="20"/>
  <c r="H73" i="20"/>
  <c r="H74" i="20"/>
  <c r="H75" i="20"/>
  <c r="H76" i="20"/>
  <c r="H77" i="20"/>
  <c r="H78" i="20"/>
  <c r="H79" i="20"/>
  <c r="H80" i="20"/>
  <c r="H81" i="20"/>
  <c r="H82" i="20"/>
  <c r="H83" i="20"/>
  <c r="H84" i="20"/>
  <c r="H85" i="20"/>
  <c r="H86" i="20"/>
  <c r="H87" i="20"/>
  <c r="H88" i="20"/>
  <c r="H89" i="20"/>
  <c r="H90" i="20"/>
  <c r="H91" i="20"/>
  <c r="H92" i="20"/>
  <c r="H93" i="20"/>
  <c r="H94" i="20"/>
  <c r="H95" i="20"/>
  <c r="H2" i="20"/>
  <c r="K95" i="20"/>
  <c r="G95" i="20"/>
  <c r="K4" i="20"/>
  <c r="K5" i="20"/>
  <c r="K6" i="20"/>
  <c r="K7" i="20"/>
  <c r="K8" i="20"/>
  <c r="K9" i="20"/>
  <c r="K10" i="20"/>
  <c r="K11" i="20"/>
  <c r="K12" i="20"/>
  <c r="K13" i="20"/>
  <c r="K14" i="20"/>
  <c r="K15" i="20"/>
  <c r="K16" i="20"/>
  <c r="K17" i="20"/>
  <c r="K18" i="20"/>
  <c r="K19" i="20"/>
  <c r="K20" i="20"/>
  <c r="K21" i="20"/>
  <c r="K22" i="20"/>
  <c r="K23" i="20"/>
  <c r="K24" i="20"/>
  <c r="K25" i="20"/>
  <c r="K26" i="20"/>
  <c r="K27" i="20"/>
  <c r="K28" i="20"/>
  <c r="K29" i="20"/>
  <c r="K30" i="20"/>
  <c r="K31" i="20"/>
  <c r="K32" i="20"/>
  <c r="K33" i="20"/>
  <c r="K34" i="20"/>
  <c r="K35" i="20"/>
  <c r="K36" i="20"/>
  <c r="K37" i="20"/>
  <c r="K38" i="20"/>
  <c r="K39" i="20"/>
  <c r="K40" i="20"/>
  <c r="K41" i="20"/>
  <c r="K42" i="20"/>
  <c r="K43" i="20"/>
  <c r="K44" i="20"/>
  <c r="K45" i="20"/>
  <c r="K46" i="20"/>
  <c r="K47" i="20"/>
  <c r="K48" i="20"/>
  <c r="K49" i="20"/>
  <c r="K50" i="20"/>
  <c r="K51" i="20"/>
  <c r="K52" i="20"/>
  <c r="K53" i="20"/>
  <c r="K54" i="20"/>
  <c r="K55" i="20"/>
  <c r="K56" i="20"/>
  <c r="K57" i="20"/>
  <c r="K58" i="20"/>
  <c r="K59" i="20"/>
  <c r="K60" i="20"/>
  <c r="K61" i="20"/>
  <c r="K62" i="20"/>
  <c r="K63" i="20"/>
  <c r="K64" i="20"/>
  <c r="K65" i="20"/>
  <c r="K66" i="20"/>
  <c r="K67" i="20"/>
  <c r="K68" i="20"/>
  <c r="K69" i="20"/>
  <c r="K70" i="20"/>
  <c r="K71" i="20"/>
  <c r="K72" i="20"/>
  <c r="K73" i="20"/>
  <c r="K74" i="20"/>
  <c r="K75" i="20"/>
  <c r="K76" i="20"/>
  <c r="K77" i="20"/>
  <c r="K78" i="20"/>
  <c r="K79" i="20"/>
  <c r="K80" i="20"/>
  <c r="K81" i="20"/>
  <c r="K82" i="20"/>
  <c r="K83" i="20"/>
  <c r="K84" i="20"/>
  <c r="K85" i="20"/>
  <c r="K86" i="20"/>
  <c r="K87" i="20"/>
  <c r="K88" i="20"/>
  <c r="K89" i="20"/>
  <c r="K90" i="20"/>
  <c r="K91" i="20"/>
  <c r="K92" i="20"/>
  <c r="K93" i="20"/>
  <c r="K94" i="20"/>
  <c r="G4" i="20"/>
  <c r="G5" i="20"/>
  <c r="G6" i="20"/>
  <c r="G7" i="20"/>
  <c r="G8" i="20"/>
  <c r="G9" i="20"/>
  <c r="G10" i="20"/>
  <c r="G11" i="20"/>
  <c r="G12" i="20"/>
  <c r="G13" i="20"/>
  <c r="G14" i="20"/>
  <c r="G15" i="20"/>
  <c r="G16" i="20"/>
  <c r="G17" i="20"/>
  <c r="G18" i="20"/>
  <c r="G19" i="20"/>
  <c r="G20" i="20"/>
  <c r="G21" i="20"/>
  <c r="G22" i="20"/>
  <c r="G23" i="20"/>
  <c r="G24" i="20"/>
  <c r="G25" i="20"/>
  <c r="G26" i="20"/>
  <c r="G27" i="20"/>
  <c r="G28" i="20"/>
  <c r="G29" i="20"/>
  <c r="G30" i="20"/>
  <c r="G31" i="20"/>
  <c r="G32" i="20"/>
  <c r="G33" i="20"/>
  <c r="G34" i="20"/>
  <c r="G35" i="20"/>
  <c r="G36" i="20"/>
  <c r="G37" i="20"/>
  <c r="G38" i="20"/>
  <c r="G39" i="20"/>
  <c r="G40" i="20"/>
  <c r="G41" i="20"/>
  <c r="G42" i="20"/>
  <c r="G43" i="20"/>
  <c r="G44" i="20"/>
  <c r="G45" i="20"/>
  <c r="G46" i="20"/>
  <c r="G47" i="20"/>
  <c r="G48" i="20"/>
  <c r="G49" i="20"/>
  <c r="G50" i="20"/>
  <c r="G51" i="20"/>
  <c r="G52" i="20"/>
  <c r="G53" i="20"/>
  <c r="G54" i="20"/>
  <c r="G55" i="20"/>
  <c r="G56" i="20"/>
  <c r="G57" i="20"/>
  <c r="G58" i="20"/>
  <c r="G59" i="20"/>
  <c r="G60" i="20"/>
  <c r="G61" i="20"/>
  <c r="G62" i="20"/>
  <c r="G63" i="20"/>
  <c r="G64" i="20"/>
  <c r="G65" i="20"/>
  <c r="G66" i="20"/>
  <c r="G67" i="20"/>
  <c r="G68" i="20"/>
  <c r="G69" i="20"/>
  <c r="G70" i="20"/>
  <c r="G71" i="20"/>
  <c r="G72" i="20"/>
  <c r="G73" i="20"/>
  <c r="G74" i="20"/>
  <c r="G75" i="20"/>
  <c r="G76" i="20"/>
  <c r="G77" i="20"/>
  <c r="G78" i="20"/>
  <c r="G79" i="20"/>
  <c r="G80" i="20"/>
  <c r="G81" i="20"/>
  <c r="G82" i="20"/>
  <c r="G83" i="20"/>
  <c r="G84" i="20"/>
  <c r="G85" i="20"/>
  <c r="G86" i="20"/>
  <c r="G87" i="20"/>
  <c r="G88" i="20"/>
  <c r="G89" i="20"/>
  <c r="G90" i="20"/>
  <c r="G91" i="20"/>
  <c r="G92" i="20"/>
  <c r="G93" i="20"/>
  <c r="G94" i="20"/>
  <c r="E4" i="20"/>
  <c r="E5" i="20"/>
  <c r="E6" i="20"/>
  <c r="E7" i="20"/>
  <c r="E8" i="20"/>
  <c r="E9" i="20"/>
  <c r="E10" i="20"/>
  <c r="E11" i="20"/>
  <c r="E12" i="20"/>
  <c r="E13" i="20"/>
  <c r="E14" i="20"/>
  <c r="E15" i="20"/>
  <c r="E16" i="20"/>
  <c r="E17" i="20"/>
  <c r="E18" i="20"/>
  <c r="E19" i="20"/>
  <c r="E20" i="20"/>
  <c r="E21" i="20"/>
  <c r="E22" i="20"/>
  <c r="E23" i="20"/>
  <c r="E24" i="20"/>
  <c r="E25" i="20"/>
  <c r="E26" i="20"/>
  <c r="E27" i="20"/>
  <c r="E28" i="20"/>
  <c r="E29" i="20"/>
  <c r="E30" i="20"/>
  <c r="E31" i="20"/>
  <c r="E32" i="20"/>
  <c r="E33" i="20"/>
  <c r="E34" i="20"/>
  <c r="E35" i="20"/>
  <c r="E36" i="20"/>
  <c r="E37" i="20"/>
  <c r="E38" i="20"/>
  <c r="E39" i="20"/>
  <c r="E40" i="20"/>
  <c r="E41" i="20"/>
  <c r="E42" i="20"/>
  <c r="E43" i="20"/>
  <c r="E44" i="20"/>
  <c r="E45" i="20"/>
  <c r="E46" i="20"/>
  <c r="E47" i="20"/>
  <c r="E48" i="20"/>
  <c r="E49" i="20"/>
  <c r="E50" i="20"/>
  <c r="E51" i="20"/>
  <c r="E52" i="20"/>
  <c r="E53" i="20"/>
  <c r="E54" i="20"/>
  <c r="E55" i="20"/>
  <c r="E56" i="20"/>
  <c r="E57" i="20"/>
  <c r="E58" i="20"/>
  <c r="E59" i="20"/>
  <c r="E60" i="20"/>
  <c r="E61" i="20"/>
  <c r="E62" i="20"/>
  <c r="E63" i="20"/>
  <c r="E64" i="20"/>
  <c r="E65" i="20"/>
  <c r="E66" i="20"/>
  <c r="E67" i="20"/>
  <c r="E68" i="20"/>
  <c r="E69" i="20"/>
  <c r="E70" i="20"/>
  <c r="E71" i="20"/>
  <c r="E72" i="20"/>
  <c r="E73" i="20"/>
  <c r="E74" i="20"/>
  <c r="E75" i="20"/>
  <c r="E76" i="20"/>
  <c r="E77" i="20"/>
  <c r="E78" i="20"/>
  <c r="E79" i="20"/>
  <c r="E80" i="20"/>
  <c r="E81" i="20"/>
  <c r="E82" i="20"/>
  <c r="E83" i="20"/>
  <c r="E84" i="20"/>
  <c r="E85" i="20"/>
  <c r="E86" i="20"/>
  <c r="E87" i="20"/>
  <c r="E88" i="20"/>
  <c r="E89" i="20"/>
  <c r="E90" i="20"/>
  <c r="E91" i="20"/>
  <c r="E92" i="20"/>
  <c r="E93" i="20"/>
  <c r="E94" i="20"/>
  <c r="K3" i="20"/>
  <c r="G3" i="20"/>
  <c r="E3" i="20"/>
  <c r="O3" i="20"/>
  <c r="O4" i="20" s="1"/>
  <c r="O5" i="20" s="1"/>
  <c r="O6" i="20" s="1"/>
  <c r="O7" i="20" s="1"/>
  <c r="O8" i="20" s="1"/>
  <c r="O9" i="20" s="1"/>
  <c r="O10" i="20" s="1"/>
  <c r="O11" i="20" s="1"/>
  <c r="O12" i="20" s="1"/>
  <c r="O13" i="20" s="1"/>
  <c r="O14" i="20" s="1"/>
  <c r="O15" i="20" s="1"/>
  <c r="O16" i="20" s="1"/>
  <c r="O17" i="20" s="1"/>
  <c r="O18" i="20" s="1"/>
  <c r="O19" i="20" s="1"/>
  <c r="O20" i="20" s="1"/>
  <c r="O21" i="20" s="1"/>
  <c r="O22" i="20" s="1"/>
  <c r="O23" i="20" s="1"/>
  <c r="O24" i="20" s="1"/>
  <c r="O25" i="20" s="1"/>
  <c r="O26" i="20" s="1"/>
  <c r="O27" i="20" s="1"/>
  <c r="O28" i="20" s="1"/>
  <c r="O29" i="20" s="1"/>
  <c r="O30" i="20" s="1"/>
  <c r="O31" i="20" s="1"/>
  <c r="O32" i="20" s="1"/>
  <c r="O33" i="20" s="1"/>
  <c r="O34" i="20" s="1"/>
  <c r="O35" i="20" s="1"/>
  <c r="O36" i="20" s="1"/>
  <c r="O37" i="20" s="1"/>
  <c r="O38" i="20" s="1"/>
  <c r="O39" i="20" s="1"/>
  <c r="O40" i="20" s="1"/>
  <c r="O41" i="20" s="1"/>
  <c r="O42" i="20" s="1"/>
  <c r="O43" i="20" s="1"/>
  <c r="O44" i="20" s="1"/>
  <c r="O45" i="20" s="1"/>
  <c r="O46" i="20" s="1"/>
  <c r="O47" i="20" s="1"/>
  <c r="O48" i="20" s="1"/>
  <c r="O49" i="20" s="1"/>
  <c r="O50" i="20" s="1"/>
  <c r="O51" i="20" s="1"/>
  <c r="O52" i="20" s="1"/>
  <c r="O53" i="20" s="1"/>
  <c r="O54" i="20" s="1"/>
  <c r="O55" i="20" s="1"/>
  <c r="O56" i="20" s="1"/>
  <c r="O57" i="20" s="1"/>
  <c r="O58" i="20" s="1"/>
  <c r="O59" i="20" s="1"/>
  <c r="O60" i="20" s="1"/>
  <c r="O61" i="20" s="1"/>
  <c r="O62" i="20" s="1"/>
  <c r="O63" i="20" s="1"/>
  <c r="O64" i="20" s="1"/>
  <c r="O65" i="20" s="1"/>
  <c r="O66" i="20" s="1"/>
  <c r="O67" i="20" s="1"/>
  <c r="O68" i="20" s="1"/>
  <c r="O69" i="20" s="1"/>
  <c r="O70" i="20" s="1"/>
  <c r="O71" i="20" s="1"/>
  <c r="O72" i="20" s="1"/>
  <c r="O73" i="20" s="1"/>
  <c r="O74" i="20" s="1"/>
  <c r="O75" i="20" s="1"/>
  <c r="O76" i="20" s="1"/>
  <c r="O77" i="20" s="1"/>
  <c r="O78" i="20" s="1"/>
  <c r="O79" i="20" s="1"/>
  <c r="O80" i="20" s="1"/>
  <c r="O81" i="20" s="1"/>
  <c r="O82" i="20" s="1"/>
  <c r="O83" i="20" s="1"/>
  <c r="O84" i="20" s="1"/>
  <c r="O85" i="20" s="1"/>
  <c r="O86" i="20" s="1"/>
  <c r="O87" i="20" s="1"/>
  <c r="O88" i="20" s="1"/>
  <c r="O89" i="20" s="1"/>
  <c r="O90" i="20" s="1"/>
  <c r="O91" i="20" s="1"/>
  <c r="O92" i="20" s="1"/>
  <c r="O93" i="20" s="1"/>
  <c r="O94" i="20" s="1"/>
  <c r="N3" i="20"/>
  <c r="N4" i="20" s="1"/>
  <c r="N5" i="20" s="1"/>
  <c r="N6" i="20" s="1"/>
  <c r="N7" i="20" s="1"/>
  <c r="N8" i="20" s="1"/>
  <c r="N9" i="20" s="1"/>
  <c r="N10" i="20" s="1"/>
  <c r="N11" i="20" s="1"/>
  <c r="N12" i="20" s="1"/>
  <c r="N13" i="20" s="1"/>
  <c r="N14" i="20" s="1"/>
  <c r="N15" i="20" s="1"/>
  <c r="N16" i="20" s="1"/>
  <c r="N17" i="20" s="1"/>
  <c r="N18" i="20" s="1"/>
  <c r="N19" i="20" s="1"/>
  <c r="N20" i="20" s="1"/>
  <c r="N21" i="20" s="1"/>
  <c r="N22" i="20" s="1"/>
  <c r="N23" i="20" s="1"/>
  <c r="N24" i="20" s="1"/>
  <c r="N25" i="20" s="1"/>
  <c r="N26" i="20" s="1"/>
  <c r="N27" i="20" s="1"/>
  <c r="N28" i="20" s="1"/>
  <c r="N29" i="20" s="1"/>
  <c r="N30" i="20" s="1"/>
  <c r="N31" i="20" s="1"/>
  <c r="N32" i="20" s="1"/>
  <c r="N33" i="20" s="1"/>
  <c r="N34" i="20" s="1"/>
  <c r="N35" i="20" s="1"/>
  <c r="N36" i="20" s="1"/>
  <c r="N37" i="20" s="1"/>
  <c r="N38" i="20" s="1"/>
  <c r="N39" i="20" s="1"/>
  <c r="N40" i="20" s="1"/>
  <c r="N41" i="20" s="1"/>
  <c r="N42" i="20" s="1"/>
  <c r="N43" i="20" s="1"/>
  <c r="N44" i="20" s="1"/>
  <c r="N45" i="20" s="1"/>
  <c r="N46" i="20" s="1"/>
  <c r="N47" i="20" s="1"/>
  <c r="N48" i="20" s="1"/>
  <c r="N49" i="20" s="1"/>
  <c r="N50" i="20" s="1"/>
  <c r="N51" i="20" s="1"/>
  <c r="N52" i="20" s="1"/>
  <c r="N53" i="20" s="1"/>
  <c r="N54" i="20" s="1"/>
  <c r="N55" i="20" s="1"/>
  <c r="N56" i="20" s="1"/>
  <c r="N57" i="20" s="1"/>
  <c r="N58" i="20" s="1"/>
  <c r="N59" i="20" s="1"/>
  <c r="N60" i="20" s="1"/>
  <c r="N61" i="20" s="1"/>
  <c r="N62" i="20" s="1"/>
  <c r="N63" i="20" s="1"/>
  <c r="N64" i="20" s="1"/>
  <c r="N65" i="20" s="1"/>
  <c r="N66" i="20" s="1"/>
  <c r="N67" i="20" s="1"/>
  <c r="N68" i="20" s="1"/>
  <c r="N69" i="20" s="1"/>
  <c r="N70" i="20" s="1"/>
  <c r="N71" i="20" s="1"/>
  <c r="N72" i="20" s="1"/>
  <c r="N73" i="20" s="1"/>
  <c r="N74" i="20" s="1"/>
  <c r="N75" i="20" s="1"/>
  <c r="N76" i="20" s="1"/>
  <c r="N77" i="20" s="1"/>
  <c r="N78" i="20" s="1"/>
  <c r="N79" i="20" s="1"/>
  <c r="N80" i="20" s="1"/>
  <c r="N81" i="20" s="1"/>
  <c r="N82" i="20" s="1"/>
  <c r="N83" i="20" s="1"/>
  <c r="N84" i="20" s="1"/>
  <c r="N85" i="20" s="1"/>
  <c r="N86" i="20" s="1"/>
  <c r="N87" i="20" s="1"/>
  <c r="N88" i="20" s="1"/>
  <c r="N89" i="20" s="1"/>
  <c r="N90" i="20" s="1"/>
  <c r="N91" i="20" s="1"/>
  <c r="N92" i="20" s="1"/>
  <c r="N93" i="20" s="1"/>
  <c r="N94" i="20" s="1"/>
  <c r="M3" i="20"/>
  <c r="M4" i="20" s="1"/>
  <c r="Q2" i="20"/>
  <c r="J136" i="19"/>
  <c r="H137" i="19"/>
  <c r="H138" i="19" s="1"/>
  <c r="H139" i="19" s="1"/>
  <c r="H140" i="19" s="1"/>
  <c r="H141" i="19" s="1"/>
  <c r="H142" i="19" s="1"/>
  <c r="H143" i="19" s="1"/>
  <c r="H144" i="19" s="1"/>
  <c r="H145" i="19" s="1"/>
  <c r="H146" i="19" s="1"/>
  <c r="H147" i="19" s="1"/>
  <c r="H148" i="19" s="1"/>
  <c r="H149" i="19" s="1"/>
  <c r="H150" i="19" s="1"/>
  <c r="H151" i="19" s="1"/>
  <c r="H152" i="19" s="1"/>
  <c r="H153" i="19" s="1"/>
  <c r="H154" i="19" s="1"/>
  <c r="H155" i="19" s="1"/>
  <c r="H156" i="19" s="1"/>
  <c r="H157" i="19" s="1"/>
  <c r="H158" i="19" s="1"/>
  <c r="H159" i="19" s="1"/>
  <c r="H160" i="19" s="1"/>
  <c r="H161" i="19" s="1"/>
  <c r="H162" i="19" s="1"/>
  <c r="H163" i="19" s="1"/>
  <c r="H164" i="19" s="1"/>
  <c r="H165" i="19" s="1"/>
  <c r="H166" i="19" s="1"/>
  <c r="H167" i="19" s="1"/>
  <c r="H168" i="19" s="1"/>
  <c r="H169" i="19" s="1"/>
  <c r="H170" i="19" s="1"/>
  <c r="H171" i="19" s="1"/>
  <c r="H172" i="19" s="1"/>
  <c r="H173" i="19" s="1"/>
  <c r="H174" i="19" s="1"/>
  <c r="H175" i="19" s="1"/>
  <c r="H176" i="19" s="1"/>
  <c r="H177" i="19" s="1"/>
  <c r="H178" i="19" s="1"/>
  <c r="H179" i="19" s="1"/>
  <c r="H180" i="19" s="1"/>
  <c r="H181" i="19" s="1"/>
  <c r="H182" i="19" s="1"/>
  <c r="H183" i="19" s="1"/>
  <c r="H184" i="19" s="1"/>
  <c r="H185" i="19" s="1"/>
  <c r="H186" i="19" s="1"/>
  <c r="H187" i="19" s="1"/>
  <c r="H188" i="19" s="1"/>
  <c r="H189" i="19" s="1"/>
  <c r="H190" i="19" s="1"/>
  <c r="H191" i="19" s="1"/>
  <c r="H192" i="19" s="1"/>
  <c r="H193" i="19" s="1"/>
  <c r="H194" i="19" s="1"/>
  <c r="H195" i="19" s="1"/>
  <c r="H196" i="19" s="1"/>
  <c r="H197" i="19" s="1"/>
  <c r="H198" i="19" s="1"/>
  <c r="H199" i="19" s="1"/>
  <c r="H200" i="19" s="1"/>
  <c r="H201" i="19" s="1"/>
  <c r="H202" i="19" s="1"/>
  <c r="H203" i="19" s="1"/>
  <c r="H204" i="19" s="1"/>
  <c r="H205" i="19" s="1"/>
  <c r="H206" i="19" s="1"/>
  <c r="H207" i="19" s="1"/>
  <c r="H208" i="19" s="1"/>
  <c r="H209" i="19" s="1"/>
  <c r="H210" i="19" s="1"/>
  <c r="H211" i="19" s="1"/>
  <c r="H212" i="19" s="1"/>
  <c r="H213" i="19" s="1"/>
  <c r="H214" i="19" s="1"/>
  <c r="H215" i="19" s="1"/>
  <c r="H216" i="19" s="1"/>
  <c r="H217" i="19" s="1"/>
  <c r="H218" i="19" s="1"/>
  <c r="H219" i="19" s="1"/>
  <c r="H220" i="19" s="1"/>
  <c r="H221" i="19" s="1"/>
  <c r="H222" i="19" s="1"/>
  <c r="H223" i="19" s="1"/>
  <c r="H224" i="19" s="1"/>
  <c r="H225" i="19" s="1"/>
  <c r="H226" i="19" s="1"/>
  <c r="H227" i="19" s="1"/>
  <c r="H228" i="19" s="1"/>
  <c r="I137" i="19"/>
  <c r="I138" i="19" s="1"/>
  <c r="I139" i="19" s="1"/>
  <c r="I140" i="19" s="1"/>
  <c r="I141" i="19" s="1"/>
  <c r="I142" i="19" s="1"/>
  <c r="I143" i="19" s="1"/>
  <c r="I144" i="19" s="1"/>
  <c r="I145" i="19" s="1"/>
  <c r="I146" i="19" s="1"/>
  <c r="I147" i="19" s="1"/>
  <c r="I148" i="19" s="1"/>
  <c r="I149" i="19" s="1"/>
  <c r="I150" i="19" s="1"/>
  <c r="I151" i="19" s="1"/>
  <c r="I152" i="19" s="1"/>
  <c r="I153" i="19" s="1"/>
  <c r="I154" i="19" s="1"/>
  <c r="I155" i="19" s="1"/>
  <c r="I156" i="19" s="1"/>
  <c r="I157" i="19" s="1"/>
  <c r="I158" i="19" s="1"/>
  <c r="I159" i="19" s="1"/>
  <c r="I160" i="19" s="1"/>
  <c r="I161" i="19" s="1"/>
  <c r="I162" i="19" s="1"/>
  <c r="I163" i="19" s="1"/>
  <c r="I164" i="19" s="1"/>
  <c r="I165" i="19" s="1"/>
  <c r="I166" i="19" s="1"/>
  <c r="I167" i="19" s="1"/>
  <c r="I168" i="19" s="1"/>
  <c r="I169" i="19" s="1"/>
  <c r="I170" i="19" s="1"/>
  <c r="I171" i="19" s="1"/>
  <c r="I172" i="19" s="1"/>
  <c r="I173" i="19" s="1"/>
  <c r="I174" i="19" s="1"/>
  <c r="I175" i="19" s="1"/>
  <c r="I176" i="19" s="1"/>
  <c r="I177" i="19" s="1"/>
  <c r="I178" i="19" s="1"/>
  <c r="I179" i="19" s="1"/>
  <c r="I180" i="19" s="1"/>
  <c r="I181" i="19" s="1"/>
  <c r="I182" i="19" s="1"/>
  <c r="I183" i="19" s="1"/>
  <c r="I184" i="19" s="1"/>
  <c r="I185" i="19" s="1"/>
  <c r="I186" i="19" s="1"/>
  <c r="I187" i="19" s="1"/>
  <c r="I188" i="19" s="1"/>
  <c r="I189" i="19" s="1"/>
  <c r="I190" i="19" s="1"/>
  <c r="I191" i="19" s="1"/>
  <c r="I192" i="19" s="1"/>
  <c r="I193" i="19" s="1"/>
  <c r="I194" i="19" s="1"/>
  <c r="I195" i="19" s="1"/>
  <c r="I196" i="19" s="1"/>
  <c r="I197" i="19" s="1"/>
  <c r="I198" i="19" s="1"/>
  <c r="I199" i="19" s="1"/>
  <c r="I200" i="19" s="1"/>
  <c r="I201" i="19" s="1"/>
  <c r="I202" i="19" s="1"/>
  <c r="I203" i="19" s="1"/>
  <c r="I204" i="19" s="1"/>
  <c r="I205" i="19" s="1"/>
  <c r="I206" i="19" s="1"/>
  <c r="I207" i="19" s="1"/>
  <c r="I208" i="19" s="1"/>
  <c r="I209" i="19" s="1"/>
  <c r="I210" i="19" s="1"/>
  <c r="I211" i="19" s="1"/>
  <c r="I212" i="19" s="1"/>
  <c r="I213" i="19" s="1"/>
  <c r="I214" i="19" s="1"/>
  <c r="I215" i="19" s="1"/>
  <c r="I216" i="19" s="1"/>
  <c r="I217" i="19" s="1"/>
  <c r="I218" i="19" s="1"/>
  <c r="I219" i="19" s="1"/>
  <c r="I220" i="19" s="1"/>
  <c r="I221" i="19" s="1"/>
  <c r="I222" i="19" s="1"/>
  <c r="I223" i="19" s="1"/>
  <c r="I224" i="19" s="1"/>
  <c r="I225" i="19" s="1"/>
  <c r="I226" i="19" s="1"/>
  <c r="I227" i="19" s="1"/>
  <c r="I228" i="19" s="1"/>
  <c r="G137" i="19"/>
  <c r="G138" i="19" s="1"/>
  <c r="G139" i="19" s="1"/>
  <c r="G140" i="19" s="1"/>
  <c r="G141" i="19" s="1"/>
  <c r="G142" i="19" s="1"/>
  <c r="G143" i="19" s="1"/>
  <c r="G144" i="19" s="1"/>
  <c r="G145" i="19" s="1"/>
  <c r="G146" i="19" s="1"/>
  <c r="G147" i="19" s="1"/>
  <c r="G148" i="19" s="1"/>
  <c r="G149" i="19" s="1"/>
  <c r="G150" i="19" s="1"/>
  <c r="G151" i="19" s="1"/>
  <c r="G152" i="19" s="1"/>
  <c r="G153" i="19" s="1"/>
  <c r="G154" i="19" s="1"/>
  <c r="G155" i="19" s="1"/>
  <c r="G156" i="19" s="1"/>
  <c r="G157" i="19" s="1"/>
  <c r="G158" i="19" s="1"/>
  <c r="G159" i="19" s="1"/>
  <c r="G160" i="19" s="1"/>
  <c r="G161" i="19" s="1"/>
  <c r="G162" i="19" s="1"/>
  <c r="G163" i="19" s="1"/>
  <c r="G164" i="19" s="1"/>
  <c r="G165" i="19" s="1"/>
  <c r="G166" i="19" s="1"/>
  <c r="G167" i="19" s="1"/>
  <c r="G168" i="19" s="1"/>
  <c r="G169" i="19" s="1"/>
  <c r="G170" i="19" s="1"/>
  <c r="G171" i="19" s="1"/>
  <c r="G172" i="19" s="1"/>
  <c r="G173" i="19" s="1"/>
  <c r="G174" i="19" s="1"/>
  <c r="G175" i="19" s="1"/>
  <c r="G176" i="19" s="1"/>
  <c r="G177" i="19" s="1"/>
  <c r="G178" i="19" s="1"/>
  <c r="G179" i="19" s="1"/>
  <c r="G180" i="19" s="1"/>
  <c r="G181" i="19" s="1"/>
  <c r="G182" i="19" s="1"/>
  <c r="G183" i="19" s="1"/>
  <c r="G184" i="19" s="1"/>
  <c r="G185" i="19" s="1"/>
  <c r="G186" i="19" s="1"/>
  <c r="G187" i="19" s="1"/>
  <c r="G188" i="19" s="1"/>
  <c r="G189" i="19" s="1"/>
  <c r="G190" i="19" s="1"/>
  <c r="G191" i="19" s="1"/>
  <c r="G192" i="19" s="1"/>
  <c r="G193" i="19" s="1"/>
  <c r="G194" i="19" s="1"/>
  <c r="G195" i="19" s="1"/>
  <c r="G196" i="19" s="1"/>
  <c r="G197" i="19" s="1"/>
  <c r="G198" i="19" s="1"/>
  <c r="G199" i="19" s="1"/>
  <c r="G200" i="19" s="1"/>
  <c r="G201" i="19" s="1"/>
  <c r="G202" i="19" s="1"/>
  <c r="G203" i="19" s="1"/>
  <c r="G204" i="19" s="1"/>
  <c r="G205" i="19" s="1"/>
  <c r="G206" i="19" s="1"/>
  <c r="G207" i="19" s="1"/>
  <c r="G208" i="19" s="1"/>
  <c r="G209" i="19" s="1"/>
  <c r="G210" i="19" s="1"/>
  <c r="G211" i="19" s="1"/>
  <c r="G212" i="19" s="1"/>
  <c r="G213" i="19" s="1"/>
  <c r="G214" i="19" s="1"/>
  <c r="G215" i="19" s="1"/>
  <c r="G216" i="19" s="1"/>
  <c r="G217" i="19" s="1"/>
  <c r="G218" i="19" s="1"/>
  <c r="G219" i="19" s="1"/>
  <c r="G220" i="19" s="1"/>
  <c r="G221" i="19" s="1"/>
  <c r="G222" i="19" s="1"/>
  <c r="G223" i="19" s="1"/>
  <c r="G224" i="19" s="1"/>
  <c r="G225" i="19" s="1"/>
  <c r="G226" i="19" s="1"/>
  <c r="G227" i="19" s="1"/>
  <c r="G228" i="19" s="1"/>
  <c r="G3" i="19"/>
  <c r="G4" i="19" s="1"/>
  <c r="F16" i="14"/>
  <c r="G16" i="14"/>
  <c r="H16" i="14"/>
  <c r="I16" i="14"/>
  <c r="J16" i="14"/>
  <c r="E16" i="14"/>
  <c r="H2" i="19"/>
  <c r="H3" i="19"/>
  <c r="L9" i="7" l="1"/>
  <c r="L15" i="7" s="1"/>
  <c r="L44" i="12"/>
  <c r="I47" i="20"/>
  <c r="I43" i="20"/>
  <c r="I39" i="20"/>
  <c r="I35" i="20"/>
  <c r="I31" i="20"/>
  <c r="I27" i="20"/>
  <c r="I23" i="20"/>
  <c r="I19" i="20"/>
  <c r="I15" i="20"/>
  <c r="I11" i="20"/>
  <c r="I7" i="20"/>
  <c r="M7" i="7"/>
  <c r="N10" i="14"/>
  <c r="M8" i="7"/>
  <c r="N28" i="25"/>
  <c r="N9" i="14" s="1"/>
  <c r="N7" i="14"/>
  <c r="P4" i="25"/>
  <c r="I92" i="20"/>
  <c r="I88" i="20"/>
  <c r="I84" i="20"/>
  <c r="I80" i="20"/>
  <c r="I76" i="20"/>
  <c r="I72" i="20"/>
  <c r="I68" i="20"/>
  <c r="I64" i="20"/>
  <c r="I60" i="20"/>
  <c r="I56" i="20"/>
  <c r="I52" i="20"/>
  <c r="I48" i="20"/>
  <c r="I44" i="20"/>
  <c r="I40" i="20"/>
  <c r="I36" i="20"/>
  <c r="I32" i="20"/>
  <c r="I28" i="20"/>
  <c r="I24" i="20"/>
  <c r="I20" i="20"/>
  <c r="I16" i="20"/>
  <c r="I12" i="20"/>
  <c r="I8" i="20"/>
  <c r="I4" i="20"/>
  <c r="I99" i="20"/>
  <c r="C99" i="20" s="1"/>
  <c r="N26" i="25"/>
  <c r="N8" i="14" s="1"/>
  <c r="N6" i="25"/>
  <c r="N30" i="25"/>
  <c r="P24" i="25"/>
  <c r="P6" i="25" s="1"/>
  <c r="J228" i="19"/>
  <c r="I94" i="20"/>
  <c r="I90" i="20"/>
  <c r="I86" i="20"/>
  <c r="I82" i="20"/>
  <c r="I78" i="20"/>
  <c r="I74" i="20"/>
  <c r="I70" i="20"/>
  <c r="I66" i="20"/>
  <c r="I62" i="20"/>
  <c r="I58" i="20"/>
  <c r="I54" i="20"/>
  <c r="I50" i="20"/>
  <c r="I46" i="20"/>
  <c r="I42" i="20"/>
  <c r="I38" i="20"/>
  <c r="I34" i="20"/>
  <c r="I30" i="20"/>
  <c r="I26" i="20"/>
  <c r="I22" i="20"/>
  <c r="I18" i="20"/>
  <c r="I14" i="20"/>
  <c r="I10" i="20"/>
  <c r="I6" i="20"/>
  <c r="I97" i="20"/>
  <c r="C97" i="20" s="1"/>
  <c r="M32" i="25"/>
  <c r="L23" i="18" s="1"/>
  <c r="O24" i="25"/>
  <c r="I98" i="20"/>
  <c r="C98" i="20" s="1"/>
  <c r="J224" i="19"/>
  <c r="J220" i="19"/>
  <c r="J216" i="19"/>
  <c r="J212" i="19"/>
  <c r="J208" i="19"/>
  <c r="J204" i="19"/>
  <c r="J200" i="19"/>
  <c r="J196" i="19"/>
  <c r="J192" i="19"/>
  <c r="J188" i="19"/>
  <c r="J184" i="19"/>
  <c r="J180" i="19"/>
  <c r="J176" i="19"/>
  <c r="J172" i="19"/>
  <c r="J168" i="19"/>
  <c r="J164" i="19"/>
  <c r="J160" i="19"/>
  <c r="J156" i="19"/>
  <c r="J152" i="19"/>
  <c r="J148" i="19"/>
  <c r="J144" i="19"/>
  <c r="J140" i="19"/>
  <c r="J227" i="19"/>
  <c r="J223" i="19"/>
  <c r="J219" i="19"/>
  <c r="J215" i="19"/>
  <c r="J211" i="19"/>
  <c r="J207" i="19"/>
  <c r="J203" i="19"/>
  <c r="J199" i="19"/>
  <c r="J195" i="19"/>
  <c r="J191" i="19"/>
  <c r="J187" i="19"/>
  <c r="J183" i="19"/>
  <c r="J179" i="19"/>
  <c r="J175" i="19"/>
  <c r="J171" i="19"/>
  <c r="J167" i="19"/>
  <c r="J163" i="19"/>
  <c r="J159" i="19"/>
  <c r="J155" i="19"/>
  <c r="J151" i="19"/>
  <c r="J147" i="19"/>
  <c r="J143" i="19"/>
  <c r="J139" i="19"/>
  <c r="I93" i="20"/>
  <c r="I89" i="20"/>
  <c r="I85" i="20"/>
  <c r="I81" i="20"/>
  <c r="I77" i="20"/>
  <c r="I73" i="20"/>
  <c r="I69" i="20"/>
  <c r="I65" i="20"/>
  <c r="I61" i="20"/>
  <c r="I57" i="20"/>
  <c r="I53" i="20"/>
  <c r="I49" i="20"/>
  <c r="I45" i="20"/>
  <c r="I41" i="20"/>
  <c r="I37" i="20"/>
  <c r="I33" i="20"/>
  <c r="I29" i="20"/>
  <c r="I25" i="20"/>
  <c r="I21" i="20"/>
  <c r="I17" i="20"/>
  <c r="I13" i="20"/>
  <c r="I9" i="20"/>
  <c r="I5" i="20"/>
  <c r="J226" i="19"/>
  <c r="J222" i="19"/>
  <c r="J218" i="19"/>
  <c r="J214" i="19"/>
  <c r="J210" i="19"/>
  <c r="J206" i="19"/>
  <c r="J202" i="19"/>
  <c r="J198" i="19"/>
  <c r="J194" i="19"/>
  <c r="J190" i="19"/>
  <c r="J186" i="19"/>
  <c r="J182" i="19"/>
  <c r="J178" i="19"/>
  <c r="J174" i="19"/>
  <c r="J170" i="19"/>
  <c r="J166" i="19"/>
  <c r="J162" i="19"/>
  <c r="J158" i="19"/>
  <c r="J154" i="19"/>
  <c r="J150" i="19"/>
  <c r="J146" i="19"/>
  <c r="J142" i="19"/>
  <c r="J138" i="19"/>
  <c r="J225" i="19"/>
  <c r="J221" i="19"/>
  <c r="J217" i="19"/>
  <c r="J213" i="19"/>
  <c r="J209" i="19"/>
  <c r="J205" i="19"/>
  <c r="J201" i="19"/>
  <c r="J197" i="19"/>
  <c r="J193" i="19"/>
  <c r="J189" i="19"/>
  <c r="J185" i="19"/>
  <c r="J181" i="19"/>
  <c r="J177" i="19"/>
  <c r="J173" i="19"/>
  <c r="J169" i="19"/>
  <c r="J165" i="19"/>
  <c r="J161" i="19"/>
  <c r="J157" i="19"/>
  <c r="J153" i="19"/>
  <c r="J149" i="19"/>
  <c r="J145" i="19"/>
  <c r="J141" i="19"/>
  <c r="J137" i="19"/>
  <c r="I95" i="20"/>
  <c r="C95" i="20" s="1"/>
  <c r="B95" i="20" s="1"/>
  <c r="B96" i="20" s="1"/>
  <c r="B97" i="20" s="1"/>
  <c r="B98" i="20" s="1"/>
  <c r="B99" i="20" s="1"/>
  <c r="I91" i="20"/>
  <c r="I87" i="20"/>
  <c r="I83" i="20"/>
  <c r="I79" i="20"/>
  <c r="I75" i="20"/>
  <c r="I71" i="20"/>
  <c r="I67" i="20"/>
  <c r="I63" i="20"/>
  <c r="I59" i="20"/>
  <c r="I55" i="20"/>
  <c r="I51" i="20"/>
  <c r="I3" i="20"/>
  <c r="I96" i="20"/>
  <c r="C96" i="20" s="1"/>
  <c r="P3" i="20"/>
  <c r="P4" i="20" s="1"/>
  <c r="P5" i="20" s="1"/>
  <c r="P6" i="20" s="1"/>
  <c r="P7" i="20" s="1"/>
  <c r="P8" i="20" s="1"/>
  <c r="P9" i="20" s="1"/>
  <c r="P10" i="20" s="1"/>
  <c r="P11" i="20" s="1"/>
  <c r="P12" i="20" s="1"/>
  <c r="P13" i="20" s="1"/>
  <c r="P14" i="20" s="1"/>
  <c r="P15" i="20" s="1"/>
  <c r="P16" i="20" s="1"/>
  <c r="P17" i="20" s="1"/>
  <c r="P18" i="20" s="1"/>
  <c r="P19" i="20" s="1"/>
  <c r="P20" i="20" s="1"/>
  <c r="P21" i="20" s="1"/>
  <c r="P22" i="20" s="1"/>
  <c r="P23" i="20" s="1"/>
  <c r="P24" i="20" s="1"/>
  <c r="P25" i="20" s="1"/>
  <c r="P26" i="20" s="1"/>
  <c r="P27" i="20" s="1"/>
  <c r="P28" i="20" s="1"/>
  <c r="P29" i="20" s="1"/>
  <c r="P30" i="20" s="1"/>
  <c r="P31" i="20" s="1"/>
  <c r="P32" i="20" s="1"/>
  <c r="P33" i="20" s="1"/>
  <c r="P34" i="20" s="1"/>
  <c r="P35" i="20" s="1"/>
  <c r="P36" i="20" s="1"/>
  <c r="P37" i="20" s="1"/>
  <c r="P38" i="20" s="1"/>
  <c r="P39" i="20" s="1"/>
  <c r="P40" i="20" s="1"/>
  <c r="P41" i="20" s="1"/>
  <c r="P42" i="20" s="1"/>
  <c r="P43" i="20" s="1"/>
  <c r="P44" i="20" s="1"/>
  <c r="P45" i="20" s="1"/>
  <c r="P46" i="20" s="1"/>
  <c r="P47" i="20" s="1"/>
  <c r="P48" i="20" s="1"/>
  <c r="P49" i="20" s="1"/>
  <c r="P50" i="20" s="1"/>
  <c r="P51" i="20" s="1"/>
  <c r="P52" i="20" s="1"/>
  <c r="P53" i="20" s="1"/>
  <c r="P54" i="20" s="1"/>
  <c r="P55" i="20" s="1"/>
  <c r="P56" i="20" s="1"/>
  <c r="P57" i="20" s="1"/>
  <c r="P58" i="20" s="1"/>
  <c r="P59" i="20" s="1"/>
  <c r="P60" i="20" s="1"/>
  <c r="P61" i="20" s="1"/>
  <c r="P62" i="20" s="1"/>
  <c r="P63" i="20" s="1"/>
  <c r="P64" i="20" s="1"/>
  <c r="P65" i="20" s="1"/>
  <c r="P66" i="20" s="1"/>
  <c r="P67" i="20" s="1"/>
  <c r="P68" i="20" s="1"/>
  <c r="P69" i="20" s="1"/>
  <c r="P70" i="20" s="1"/>
  <c r="P71" i="20" s="1"/>
  <c r="P72" i="20" s="1"/>
  <c r="P73" i="20" s="1"/>
  <c r="P74" i="20" s="1"/>
  <c r="P75" i="20" s="1"/>
  <c r="P76" i="20" s="1"/>
  <c r="P77" i="20" s="1"/>
  <c r="P78" i="20" s="1"/>
  <c r="P79" i="20" s="1"/>
  <c r="P80" i="20" s="1"/>
  <c r="P81" i="20" s="1"/>
  <c r="P82" i="20" s="1"/>
  <c r="P83" i="20" s="1"/>
  <c r="P84" i="20" s="1"/>
  <c r="P85" i="20" s="1"/>
  <c r="P86" i="20" s="1"/>
  <c r="P87" i="20" s="1"/>
  <c r="P88" i="20" s="1"/>
  <c r="P89" i="20" s="1"/>
  <c r="P90" i="20" s="1"/>
  <c r="P91" i="20" s="1"/>
  <c r="P92" i="20" s="1"/>
  <c r="P93" i="20" s="1"/>
  <c r="P94" i="20" s="1"/>
  <c r="Q3" i="20"/>
  <c r="M5" i="20"/>
  <c r="Q4" i="20"/>
  <c r="G5" i="19"/>
  <c r="J18" i="7"/>
  <c r="I18" i="7"/>
  <c r="I57" i="12" s="1"/>
  <c r="H18" i="7"/>
  <c r="H57" i="12" s="1"/>
  <c r="F15" i="15"/>
  <c r="G15" i="15"/>
  <c r="H15" i="15"/>
  <c r="H17" i="15" s="1"/>
  <c r="I15" i="15"/>
  <c r="I17" i="15" s="1"/>
  <c r="J15" i="15"/>
  <c r="J17" i="15" s="1"/>
  <c r="E15" i="15"/>
  <c r="O3" i="19"/>
  <c r="O4" i="19"/>
  <c r="O5" i="19"/>
  <c r="O6" i="19"/>
  <c r="O7" i="19"/>
  <c r="O8" i="19"/>
  <c r="O2" i="19"/>
  <c r="F3" i="19"/>
  <c r="F4" i="19"/>
  <c r="F5" i="19"/>
  <c r="F6" i="19"/>
  <c r="F7" i="19"/>
  <c r="F8" i="19"/>
  <c r="F9" i="19"/>
  <c r="F10" i="19"/>
  <c r="F11" i="19"/>
  <c r="F12" i="19"/>
  <c r="F13" i="19"/>
  <c r="F14" i="19"/>
  <c r="F15" i="19"/>
  <c r="F16" i="19"/>
  <c r="F17" i="19"/>
  <c r="F18" i="19"/>
  <c r="F19" i="19"/>
  <c r="F20" i="19"/>
  <c r="F21" i="19"/>
  <c r="F22" i="19"/>
  <c r="F23" i="19"/>
  <c r="F2" i="19"/>
  <c r="F39" i="19"/>
  <c r="F40" i="19"/>
  <c r="F41" i="19"/>
  <c r="F42" i="19"/>
  <c r="F43" i="19"/>
  <c r="F44" i="19"/>
  <c r="F45" i="19"/>
  <c r="F46" i="19"/>
  <c r="F47" i="19"/>
  <c r="F48" i="19"/>
  <c r="F49" i="19"/>
  <c r="F50" i="19"/>
  <c r="F25" i="19"/>
  <c r="F26" i="19"/>
  <c r="F27" i="19"/>
  <c r="F28" i="19"/>
  <c r="F29" i="19"/>
  <c r="F30" i="19"/>
  <c r="F31" i="19"/>
  <c r="F32" i="19"/>
  <c r="F33" i="19"/>
  <c r="F34" i="19"/>
  <c r="F35" i="19"/>
  <c r="F36" i="19"/>
  <c r="F37" i="19"/>
  <c r="F24" i="19"/>
  <c r="F38" i="19"/>
  <c r="F52" i="19"/>
  <c r="F53" i="19"/>
  <c r="F54" i="19"/>
  <c r="F55" i="19"/>
  <c r="F56" i="19"/>
  <c r="F57" i="19"/>
  <c r="F58" i="19"/>
  <c r="F59" i="19"/>
  <c r="F60" i="19"/>
  <c r="F61" i="19"/>
  <c r="F62" i="19"/>
  <c r="F51" i="19"/>
  <c r="F81" i="19"/>
  <c r="F80" i="19"/>
  <c r="F79" i="19"/>
  <c r="F78" i="19"/>
  <c r="F77" i="19"/>
  <c r="F76" i="19"/>
  <c r="F75" i="19"/>
  <c r="F74" i="19"/>
  <c r="F73" i="19"/>
  <c r="F72" i="19"/>
  <c r="F71" i="19"/>
  <c r="F70" i="19"/>
  <c r="F69" i="19"/>
  <c r="F68" i="19"/>
  <c r="F67" i="19"/>
  <c r="F66" i="19"/>
  <c r="F65" i="19"/>
  <c r="F64" i="19"/>
  <c r="F63" i="19"/>
  <c r="F82" i="19"/>
  <c r="F83" i="19"/>
  <c r="F84" i="19"/>
  <c r="F85" i="19"/>
  <c r="F86" i="19"/>
  <c r="F87" i="19"/>
  <c r="F88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4" i="19"/>
  <c r="F105" i="19"/>
  <c r="F106" i="19"/>
  <c r="F107" i="19"/>
  <c r="F131" i="19"/>
  <c r="F130" i="19"/>
  <c r="F129" i="19"/>
  <c r="F128" i="19"/>
  <c r="F127" i="19"/>
  <c r="F126" i="19"/>
  <c r="F125" i="19"/>
  <c r="F124" i="19"/>
  <c r="F123" i="19"/>
  <c r="F122" i="19"/>
  <c r="F121" i="19"/>
  <c r="F120" i="19"/>
  <c r="F119" i="19"/>
  <c r="F118" i="19"/>
  <c r="F117" i="19"/>
  <c r="F116" i="19"/>
  <c r="F115" i="19"/>
  <c r="F114" i="19"/>
  <c r="F113" i="19"/>
  <c r="F112" i="19"/>
  <c r="F111" i="19"/>
  <c r="F110" i="19"/>
  <c r="F109" i="19"/>
  <c r="F108" i="19"/>
  <c r="I2" i="19"/>
  <c r="I3" i="19"/>
  <c r="M9" i="7" l="1"/>
  <c r="M11" i="25" s="1"/>
  <c r="L11" i="25"/>
  <c r="M42" i="12"/>
  <c r="M44" i="12"/>
  <c r="M15" i="7"/>
  <c r="N7" i="7"/>
  <c r="O7" i="14"/>
  <c r="O10" i="14"/>
  <c r="N8" i="7"/>
  <c r="J16" i="15"/>
  <c r="P30" i="25"/>
  <c r="P28" i="25"/>
  <c r="P26" i="25"/>
  <c r="N32" i="25"/>
  <c r="M23" i="18" s="1"/>
  <c r="O6" i="25"/>
  <c r="O26" i="25"/>
  <c r="O8" i="14" s="1"/>
  <c r="O30" i="25"/>
  <c r="O8" i="7" s="1"/>
  <c r="O28" i="25"/>
  <c r="O9" i="14" s="1"/>
  <c r="O17" i="15"/>
  <c r="K17" i="15"/>
  <c r="N17" i="15"/>
  <c r="M17" i="15"/>
  <c r="L17" i="15"/>
  <c r="I18" i="15"/>
  <c r="M6" i="20"/>
  <c r="Q5" i="20"/>
  <c r="G6" i="19"/>
  <c r="Q2" i="19"/>
  <c r="J18" i="15"/>
  <c r="H9" i="15"/>
  <c r="H11" i="15" s="1"/>
  <c r="I9" i="15"/>
  <c r="I11" i="15" s="1"/>
  <c r="I4" i="19"/>
  <c r="N44" i="12" l="1"/>
  <c r="N42" i="12"/>
  <c r="N9" i="7"/>
  <c r="O7" i="7"/>
  <c r="P32" i="25"/>
  <c r="O32" i="25"/>
  <c r="N23" i="18" s="1"/>
  <c r="M7" i="20"/>
  <c r="Q6" i="20"/>
  <c r="G7" i="19"/>
  <c r="G7" i="15"/>
  <c r="F7" i="15"/>
  <c r="E7" i="15"/>
  <c r="H4" i="19"/>
  <c r="O9" i="7" l="1"/>
  <c r="O15" i="7" s="1"/>
  <c r="O44" i="12"/>
  <c r="O42" i="12"/>
  <c r="N15" i="7"/>
  <c r="N11" i="25"/>
  <c r="M8" i="20"/>
  <c r="Q7" i="20"/>
  <c r="G8" i="19"/>
  <c r="G17" i="15"/>
  <c r="G9" i="15"/>
  <c r="G11" i="15" s="1"/>
  <c r="F17" i="15"/>
  <c r="F9" i="15"/>
  <c r="F11" i="15" s="1"/>
  <c r="E17" i="15"/>
  <c r="J19" i="15" s="1"/>
  <c r="E9" i="15"/>
  <c r="E11" i="15" s="1"/>
  <c r="J12" i="15" s="1"/>
  <c r="H5" i="19"/>
  <c r="I5" i="19"/>
  <c r="O11" i="25" l="1"/>
  <c r="M9" i="20"/>
  <c r="Q8" i="20"/>
  <c r="G9" i="19"/>
  <c r="G18" i="15"/>
  <c r="H18" i="15"/>
  <c r="F18" i="15"/>
  <c r="H19" i="14"/>
  <c r="G17" i="14"/>
  <c r="F17" i="14"/>
  <c r="E17" i="14"/>
  <c r="H15" i="14"/>
  <c r="H20" i="25" s="1"/>
  <c r="I15" i="14"/>
  <c r="I20" i="25" s="1"/>
  <c r="J15" i="14"/>
  <c r="J20" i="25" s="1"/>
  <c r="G13" i="14"/>
  <c r="G15" i="14" s="1"/>
  <c r="G20" i="25" s="1"/>
  <c r="F13" i="14"/>
  <c r="F15" i="14" s="1"/>
  <c r="F20" i="25" s="1"/>
  <c r="E13" i="14"/>
  <c r="E15" i="14" s="1"/>
  <c r="E20" i="25" s="1"/>
  <c r="L9" i="15" l="1"/>
  <c r="L9" i="25" s="1"/>
  <c r="K15" i="14"/>
  <c r="L17" i="25"/>
  <c r="M10" i="20"/>
  <c r="Q9" i="20"/>
  <c r="G10" i="19"/>
  <c r="J9" i="14"/>
  <c r="E11" i="14"/>
  <c r="F11" i="14"/>
  <c r="G11" i="14"/>
  <c r="H11" i="14"/>
  <c r="I11" i="14"/>
  <c r="D11" i="14"/>
  <c r="I6" i="19"/>
  <c r="H6" i="19"/>
  <c r="M9" i="15" l="1"/>
  <c r="M9" i="25" s="1"/>
  <c r="K11" i="14"/>
  <c r="L15" i="14"/>
  <c r="K19" i="25"/>
  <c r="K8" i="15"/>
  <c r="K7" i="15" s="1"/>
  <c r="K8" i="25" s="1"/>
  <c r="K16" i="14"/>
  <c r="M11" i="20"/>
  <c r="Q10" i="20"/>
  <c r="G11" i="19"/>
  <c r="L11" i="14"/>
  <c r="L25" i="13"/>
  <c r="K25" i="13"/>
  <c r="J22" i="12"/>
  <c r="L21" i="13"/>
  <c r="M21" i="13"/>
  <c r="N21" i="13"/>
  <c r="O21" i="13"/>
  <c r="K21" i="13"/>
  <c r="K18" i="13"/>
  <c r="L13" i="13"/>
  <c r="L40" i="13" s="1"/>
  <c r="M13" i="13"/>
  <c r="M40" i="13" s="1"/>
  <c r="N13" i="13"/>
  <c r="N40" i="13" s="1"/>
  <c r="O13" i="13"/>
  <c r="O40" i="13" s="1"/>
  <c r="K13" i="13"/>
  <c r="K40" i="13" s="1"/>
  <c r="L10" i="13"/>
  <c r="M10" i="13"/>
  <c r="N10" i="13"/>
  <c r="O10" i="13"/>
  <c r="K10" i="13"/>
  <c r="K8" i="12"/>
  <c r="L8" i="12" s="1"/>
  <c r="M8" i="12" s="1"/>
  <c r="N8" i="12" s="1"/>
  <c r="O8" i="12" s="1"/>
  <c r="K15" i="12"/>
  <c r="L15" i="12" s="1"/>
  <c r="M15" i="12" s="1"/>
  <c r="N15" i="12" s="1"/>
  <c r="O15" i="12" s="1"/>
  <c r="K12" i="12"/>
  <c r="L12" i="12" s="1"/>
  <c r="M12" i="12" s="1"/>
  <c r="N12" i="12" s="1"/>
  <c r="O12" i="12" s="1"/>
  <c r="K20" i="12"/>
  <c r="L20" i="12" s="1"/>
  <c r="M20" i="12" s="1"/>
  <c r="N20" i="12" s="1"/>
  <c r="O20" i="12" s="1"/>
  <c r="K31" i="12"/>
  <c r="L31" i="12" s="1"/>
  <c r="M31" i="12" s="1"/>
  <c r="N31" i="12" s="1"/>
  <c r="O31" i="12" s="1"/>
  <c r="K30" i="12"/>
  <c r="L30" i="12" s="1"/>
  <c r="M30" i="12" s="1"/>
  <c r="N30" i="12" s="1"/>
  <c r="O30" i="12" s="1"/>
  <c r="K36" i="12"/>
  <c r="L36" i="12" s="1"/>
  <c r="M36" i="12" s="1"/>
  <c r="N36" i="12" s="1"/>
  <c r="O36" i="12" s="1"/>
  <c r="K35" i="12"/>
  <c r="L35" i="12" s="1"/>
  <c r="M35" i="12" s="1"/>
  <c r="N35" i="12" s="1"/>
  <c r="O35" i="12" s="1"/>
  <c r="K34" i="12"/>
  <c r="L34" i="12" s="1"/>
  <c r="M34" i="12" s="1"/>
  <c r="N34" i="12" s="1"/>
  <c r="O34" i="12" s="1"/>
  <c r="K40" i="12"/>
  <c r="L40" i="12" s="1"/>
  <c r="M40" i="12" s="1"/>
  <c r="N40" i="12" s="1"/>
  <c r="O40" i="12" s="1"/>
  <c r="K15" i="15" l="1"/>
  <c r="K13" i="15" s="1"/>
  <c r="K26" i="15" s="1"/>
  <c r="O9" i="15"/>
  <c r="O9" i="25" s="1"/>
  <c r="N9" i="15"/>
  <c r="N9" i="25" s="1"/>
  <c r="M15" i="14"/>
  <c r="M17" i="25"/>
  <c r="L14" i="14"/>
  <c r="L10" i="28" s="1"/>
  <c r="L12" i="28" s="1"/>
  <c r="L7" i="28" s="1"/>
  <c r="L18" i="25"/>
  <c r="L19" i="25" s="1"/>
  <c r="L8" i="15"/>
  <c r="L7" i="15" s="1"/>
  <c r="M12" i="20"/>
  <c r="Q11" i="20"/>
  <c r="G12" i="19"/>
  <c r="M11" i="14"/>
  <c r="J39" i="13"/>
  <c r="J48" i="13" s="1"/>
  <c r="I39" i="13"/>
  <c r="I48" i="13" s="1"/>
  <c r="H39" i="13"/>
  <c r="H48" i="13" s="1"/>
  <c r="G39" i="13"/>
  <c r="G48" i="13" s="1"/>
  <c r="F39" i="13"/>
  <c r="F48" i="13" s="1"/>
  <c r="E39" i="13"/>
  <c r="E48" i="13" s="1"/>
  <c r="D39" i="13"/>
  <c r="D48" i="13" s="1"/>
  <c r="J33" i="13"/>
  <c r="J36" i="13" s="1"/>
  <c r="I33" i="13"/>
  <c r="I36" i="13" s="1"/>
  <c r="H33" i="13"/>
  <c r="G33" i="13"/>
  <c r="G36" i="13" s="1"/>
  <c r="F33" i="13"/>
  <c r="F36" i="13" s="1"/>
  <c r="E33" i="13"/>
  <c r="E36" i="13" s="1"/>
  <c r="H36" i="13"/>
  <c r="K36" i="13"/>
  <c r="L36" i="13"/>
  <c r="M36" i="13"/>
  <c r="N36" i="13"/>
  <c r="O36" i="13"/>
  <c r="D33" i="13"/>
  <c r="D36" i="13" s="1"/>
  <c r="E18" i="13"/>
  <c r="J18" i="13"/>
  <c r="I18" i="13"/>
  <c r="H18" i="13"/>
  <c r="G18" i="13"/>
  <c r="F18" i="13"/>
  <c r="D18" i="13"/>
  <c r="J15" i="13"/>
  <c r="J11" i="13"/>
  <c r="I7" i="19"/>
  <c r="H7" i="19"/>
  <c r="K16" i="7" l="1"/>
  <c r="K27" i="15"/>
  <c r="K43" i="15"/>
  <c r="L16" i="12"/>
  <c r="M8" i="28"/>
  <c r="L15" i="15"/>
  <c r="L13" i="15" s="1"/>
  <c r="L26" i="15" s="1"/>
  <c r="L8" i="25"/>
  <c r="L16" i="14"/>
  <c r="J19" i="13"/>
  <c r="J26" i="13" s="1"/>
  <c r="J28" i="13" s="1"/>
  <c r="J50" i="13" s="1"/>
  <c r="J55" i="13" s="1"/>
  <c r="K54" i="13" s="1"/>
  <c r="N17" i="25"/>
  <c r="N15" i="14"/>
  <c r="M14" i="14"/>
  <c r="M10" i="28" s="1"/>
  <c r="M12" i="28" s="1"/>
  <c r="M8" i="15"/>
  <c r="M18" i="25"/>
  <c r="M19" i="25" s="1"/>
  <c r="M13" i="20"/>
  <c r="Q12" i="20"/>
  <c r="G13" i="19"/>
  <c r="O11" i="14"/>
  <c r="N11" i="14"/>
  <c r="I11" i="13"/>
  <c r="I19" i="13" s="1"/>
  <c r="I26" i="13" s="1"/>
  <c r="I28" i="13" s="1"/>
  <c r="I50" i="13" s="1"/>
  <c r="I55" i="13" s="1"/>
  <c r="H11" i="13"/>
  <c r="H19" i="13" s="1"/>
  <c r="H26" i="13" s="1"/>
  <c r="H28" i="13" s="1"/>
  <c r="H50" i="13" s="1"/>
  <c r="H55" i="13" s="1"/>
  <c r="G11" i="13"/>
  <c r="G19" i="13" s="1"/>
  <c r="G26" i="13" s="1"/>
  <c r="G28" i="13" s="1"/>
  <c r="G50" i="13" s="1"/>
  <c r="G55" i="13" s="1"/>
  <c r="F11" i="13"/>
  <c r="F19" i="13" s="1"/>
  <c r="F26" i="13" s="1"/>
  <c r="F28" i="13" s="1"/>
  <c r="F50" i="13" s="1"/>
  <c r="F55" i="13" s="1"/>
  <c r="E11" i="13"/>
  <c r="E19" i="13" s="1"/>
  <c r="E26" i="13" s="1"/>
  <c r="E28" i="13" s="1"/>
  <c r="E50" i="13" s="1"/>
  <c r="E55" i="13" s="1"/>
  <c r="D11" i="13"/>
  <c r="D19" i="13" s="1"/>
  <c r="D26" i="13" s="1"/>
  <c r="D28" i="13" s="1"/>
  <c r="D50" i="13" s="1"/>
  <c r="D55" i="13" s="1"/>
  <c r="K21" i="12" l="1"/>
  <c r="K12" i="25"/>
  <c r="K13" i="25" s="1"/>
  <c r="K17" i="7"/>
  <c r="J24" i="18" s="1"/>
  <c r="L16" i="7"/>
  <c r="L27" i="15"/>
  <c r="L18" i="13"/>
  <c r="L30" i="15"/>
  <c r="M7" i="28"/>
  <c r="M19" i="7"/>
  <c r="M20" i="7" s="1"/>
  <c r="M24" i="12"/>
  <c r="M25" i="13" s="1"/>
  <c r="M16" i="14"/>
  <c r="M7" i="15"/>
  <c r="N8" i="15"/>
  <c r="N7" i="15" s="1"/>
  <c r="N18" i="25"/>
  <c r="N19" i="25" s="1"/>
  <c r="N14" i="14"/>
  <c r="N10" i="28" s="1"/>
  <c r="N12" i="28" s="1"/>
  <c r="O15" i="14"/>
  <c r="P17" i="25"/>
  <c r="O17" i="25"/>
  <c r="M14" i="20"/>
  <c r="Q13" i="20"/>
  <c r="G14" i="19"/>
  <c r="D26" i="7"/>
  <c r="E26" i="7"/>
  <c r="F26" i="7"/>
  <c r="G26" i="7"/>
  <c r="H26" i="7"/>
  <c r="I27" i="18"/>
  <c r="E9" i="7"/>
  <c r="E11" i="25" s="1"/>
  <c r="E13" i="25" s="1"/>
  <c r="F9" i="7"/>
  <c r="F11" i="25" s="1"/>
  <c r="F13" i="25" s="1"/>
  <c r="G9" i="7"/>
  <c r="G11" i="25" s="1"/>
  <c r="G13" i="25" s="1"/>
  <c r="H9" i="7"/>
  <c r="H11" i="25" s="1"/>
  <c r="H13" i="25" s="1"/>
  <c r="I9" i="7"/>
  <c r="I11" i="25" s="1"/>
  <c r="I13" i="25" s="1"/>
  <c r="J9" i="7"/>
  <c r="J11" i="25" s="1"/>
  <c r="J13" i="25" s="1"/>
  <c r="D9" i="7"/>
  <c r="D11" i="25" s="1"/>
  <c r="D13" i="25" s="1"/>
  <c r="K21" i="7"/>
  <c r="E14" i="7"/>
  <c r="F14" i="7"/>
  <c r="G14" i="7"/>
  <c r="H14" i="7"/>
  <c r="I14" i="7"/>
  <c r="J14" i="7"/>
  <c r="D14" i="7"/>
  <c r="H8" i="19"/>
  <c r="I8" i="19"/>
  <c r="L21" i="12" l="1"/>
  <c r="L12" i="25"/>
  <c r="L13" i="25" s="1"/>
  <c r="L17" i="7"/>
  <c r="L31" i="15"/>
  <c r="L43" i="15"/>
  <c r="D51" i="12"/>
  <c r="D52" i="12"/>
  <c r="D50" i="12"/>
  <c r="D53" i="12"/>
  <c r="C27" i="18"/>
  <c r="J52" i="12"/>
  <c r="J53" i="12"/>
  <c r="J50" i="12"/>
  <c r="J51" i="12"/>
  <c r="F52" i="12"/>
  <c r="F53" i="12"/>
  <c r="F50" i="12"/>
  <c r="F51" i="12"/>
  <c r="F27" i="18"/>
  <c r="I53" i="12"/>
  <c r="I52" i="12"/>
  <c r="I51" i="12"/>
  <c r="E53" i="12"/>
  <c r="E50" i="12"/>
  <c r="E52" i="12"/>
  <c r="E51" i="12"/>
  <c r="E27" i="18"/>
  <c r="M14" i="25"/>
  <c r="G51" i="12"/>
  <c r="G50" i="12"/>
  <c r="G52" i="12"/>
  <c r="G53" i="12"/>
  <c r="G27" i="18"/>
  <c r="H51" i="12"/>
  <c r="H52" i="12"/>
  <c r="H53" i="12"/>
  <c r="D27" i="18"/>
  <c r="M16" i="12"/>
  <c r="N8" i="28"/>
  <c r="M15" i="15"/>
  <c r="M13" i="15" s="1"/>
  <c r="M26" i="15" s="1"/>
  <c r="M8" i="25"/>
  <c r="N15" i="15"/>
  <c r="N13" i="15" s="1"/>
  <c r="N26" i="15" s="1"/>
  <c r="N8" i="25"/>
  <c r="K23" i="7"/>
  <c r="J25" i="18"/>
  <c r="N16" i="14"/>
  <c r="J15" i="7"/>
  <c r="J17" i="7" s="1"/>
  <c r="F15" i="7"/>
  <c r="F17" i="7" s="1"/>
  <c r="E24" i="18" s="1"/>
  <c r="I15" i="7"/>
  <c r="I17" i="7" s="1"/>
  <c r="E15" i="7"/>
  <c r="E17" i="7" s="1"/>
  <c r="D24" i="18" s="1"/>
  <c r="H15" i="7"/>
  <c r="H17" i="7" s="1"/>
  <c r="D15" i="7"/>
  <c r="D17" i="7" s="1"/>
  <c r="C24" i="18" s="1"/>
  <c r="G15" i="7"/>
  <c r="G17" i="7" s="1"/>
  <c r="F24" i="18" s="1"/>
  <c r="P18" i="25"/>
  <c r="P19" i="25" s="1"/>
  <c r="O8" i="15"/>
  <c r="O7" i="15" s="1"/>
  <c r="O14" i="14"/>
  <c r="O10" i="28" s="1"/>
  <c r="O12" i="28" s="1"/>
  <c r="O18" i="25"/>
  <c r="O19" i="25" s="1"/>
  <c r="M15" i="20"/>
  <c r="Q14" i="20"/>
  <c r="G15" i="19"/>
  <c r="E20" i="7"/>
  <c r="E14" i="25" s="1"/>
  <c r="F20" i="7"/>
  <c r="F21" i="7" s="1"/>
  <c r="G20" i="7"/>
  <c r="G14" i="25" s="1"/>
  <c r="D20" i="7"/>
  <c r="D14" i="25" s="1"/>
  <c r="K51" i="12" l="1"/>
  <c r="K53" i="12"/>
  <c r="N16" i="7"/>
  <c r="N27" i="15"/>
  <c r="M16" i="7"/>
  <c r="M27" i="15"/>
  <c r="K24" i="18"/>
  <c r="L21" i="7"/>
  <c r="M18" i="13"/>
  <c r="M30" i="15"/>
  <c r="N24" i="12"/>
  <c r="N25" i="13" s="1"/>
  <c r="N19" i="7"/>
  <c r="N20" i="7" s="1"/>
  <c r="F14" i="25"/>
  <c r="H21" i="7"/>
  <c r="G24" i="18"/>
  <c r="J21" i="7"/>
  <c r="I24" i="18"/>
  <c r="I21" i="7"/>
  <c r="H24" i="18"/>
  <c r="F23" i="7"/>
  <c r="E25" i="18"/>
  <c r="N7" i="28"/>
  <c r="O15" i="15"/>
  <c r="O13" i="15" s="1"/>
  <c r="O26" i="15" s="1"/>
  <c r="O8" i="25"/>
  <c r="F25" i="7"/>
  <c r="E26" i="18"/>
  <c r="K25" i="7"/>
  <c r="K26" i="7" s="1"/>
  <c r="J26" i="18"/>
  <c r="E21" i="7"/>
  <c r="D21" i="7"/>
  <c r="G21" i="7"/>
  <c r="O16" i="14"/>
  <c r="Q19" i="14"/>
  <c r="Q20" i="14" s="1"/>
  <c r="R21" i="14" s="1"/>
  <c r="M16" i="20"/>
  <c r="Q15" i="20"/>
  <c r="G16" i="19"/>
  <c r="J37" i="12"/>
  <c r="K37" i="12" s="1"/>
  <c r="L37" i="12" s="1"/>
  <c r="M37" i="12" s="1"/>
  <c r="N37" i="12" s="1"/>
  <c r="O37" i="12" s="1"/>
  <c r="O38" i="12" s="1"/>
  <c r="J45" i="12"/>
  <c r="J56" i="12" s="1"/>
  <c r="K56" i="12" s="1"/>
  <c r="J43" i="12"/>
  <c r="H46" i="12"/>
  <c r="I46" i="12"/>
  <c r="E46" i="12"/>
  <c r="F46" i="12"/>
  <c r="G46" i="12"/>
  <c r="D46" i="12"/>
  <c r="H38" i="12"/>
  <c r="I38" i="12"/>
  <c r="E38" i="12"/>
  <c r="F38" i="12"/>
  <c r="G38" i="12"/>
  <c r="D38" i="12"/>
  <c r="E32" i="12"/>
  <c r="F32" i="12"/>
  <c r="G32" i="12"/>
  <c r="H32" i="12"/>
  <c r="I32" i="12"/>
  <c r="J32" i="12"/>
  <c r="K32" i="12"/>
  <c r="L32" i="12"/>
  <c r="M32" i="12"/>
  <c r="N32" i="12"/>
  <c r="O32" i="12"/>
  <c r="D32" i="12"/>
  <c r="J14" i="12"/>
  <c r="J57" i="12" s="1"/>
  <c r="K57" i="12" s="1"/>
  <c r="I9" i="19"/>
  <c r="L57" i="12" l="1"/>
  <c r="K14" i="12"/>
  <c r="K41" i="13" s="1"/>
  <c r="L56" i="12"/>
  <c r="K45" i="12"/>
  <c r="L53" i="12"/>
  <c r="K41" i="12"/>
  <c r="J57" i="13"/>
  <c r="K57" i="13" s="1"/>
  <c r="L57" i="13" s="1"/>
  <c r="M57" i="13" s="1"/>
  <c r="N57" i="13" s="1"/>
  <c r="O57" i="13" s="1"/>
  <c r="B44" i="18"/>
  <c r="L51" i="12"/>
  <c r="K22" i="12"/>
  <c r="K24" i="13" s="1"/>
  <c r="M21" i="12"/>
  <c r="M17" i="7"/>
  <c r="M12" i="25"/>
  <c r="M13" i="25" s="1"/>
  <c r="N21" i="12"/>
  <c r="N17" i="7"/>
  <c r="M24" i="18" s="1"/>
  <c r="O16" i="7"/>
  <c r="O27" i="15"/>
  <c r="L23" i="7"/>
  <c r="K25" i="18"/>
  <c r="M31" i="15"/>
  <c r="M43" i="15"/>
  <c r="E23" i="7"/>
  <c r="E25" i="7" s="1"/>
  <c r="D25" i="18"/>
  <c r="N16" i="12"/>
  <c r="O8" i="28"/>
  <c r="I23" i="7"/>
  <c r="H25" i="18"/>
  <c r="H23" i="7"/>
  <c r="G25" i="18"/>
  <c r="K23" i="13"/>
  <c r="G23" i="7"/>
  <c r="G25" i="7" s="1"/>
  <c r="F25" i="18"/>
  <c r="F31" i="7"/>
  <c r="F32" i="7"/>
  <c r="F27" i="7"/>
  <c r="J23" i="7"/>
  <c r="I25" i="18"/>
  <c r="N14" i="25"/>
  <c r="N12" i="25"/>
  <c r="N13" i="25" s="1"/>
  <c r="D23" i="7"/>
  <c r="C25" i="18"/>
  <c r="K31" i="7"/>
  <c r="J28" i="18" s="1"/>
  <c r="K8" i="13"/>
  <c r="K19" i="13" s="1"/>
  <c r="F26" i="18"/>
  <c r="D25" i="7"/>
  <c r="C26" i="18"/>
  <c r="K38" i="12"/>
  <c r="M8" i="18"/>
  <c r="M9" i="18" s="1"/>
  <c r="B14" i="18" s="1"/>
  <c r="N38" i="12"/>
  <c r="J38" i="12"/>
  <c r="L38" i="12"/>
  <c r="M38" i="12"/>
  <c r="J46" i="12"/>
  <c r="H47" i="12"/>
  <c r="M17" i="20"/>
  <c r="Q16" i="20"/>
  <c r="G17" i="19"/>
  <c r="I47" i="12"/>
  <c r="E47" i="12"/>
  <c r="G47" i="12"/>
  <c r="F47" i="12"/>
  <c r="D47" i="12"/>
  <c r="I21" i="12"/>
  <c r="H21" i="12"/>
  <c r="F25" i="12"/>
  <c r="E25" i="12"/>
  <c r="G25" i="12"/>
  <c r="J25" i="12"/>
  <c r="D25" i="12"/>
  <c r="H9" i="19"/>
  <c r="N21" i="7" l="1"/>
  <c r="N23" i="7" s="1"/>
  <c r="K25" i="12"/>
  <c r="J47" i="12"/>
  <c r="D26" i="18"/>
  <c r="F48" i="15"/>
  <c r="E28" i="18"/>
  <c r="E31" i="18" s="1"/>
  <c r="E34" i="18" s="1"/>
  <c r="M56" i="12"/>
  <c r="L45" i="12"/>
  <c r="K22" i="13"/>
  <c r="K29" i="13" s="1"/>
  <c r="J30" i="18" s="1"/>
  <c r="J31" i="18" s="1"/>
  <c r="J34" i="18" s="1"/>
  <c r="M51" i="12"/>
  <c r="L22" i="12"/>
  <c r="M53" i="12"/>
  <c r="L41" i="12"/>
  <c r="M57" i="12"/>
  <c r="L14" i="12"/>
  <c r="L41" i="13" s="1"/>
  <c r="O21" i="12"/>
  <c r="O17" i="7"/>
  <c r="N24" i="18" s="1"/>
  <c r="L25" i="7"/>
  <c r="L26" i="7" s="1"/>
  <c r="K26" i="18"/>
  <c r="L24" i="18"/>
  <c r="M21" i="7"/>
  <c r="B16" i="18"/>
  <c r="B15" i="18"/>
  <c r="N18" i="13"/>
  <c r="N30" i="15"/>
  <c r="G31" i="7"/>
  <c r="G32" i="7"/>
  <c r="G27" i="7"/>
  <c r="H25" i="12"/>
  <c r="H50" i="12"/>
  <c r="E31" i="7"/>
  <c r="E32" i="7"/>
  <c r="E27" i="7"/>
  <c r="H25" i="7"/>
  <c r="G26" i="18"/>
  <c r="O7" i="28"/>
  <c r="O16" i="12" s="1"/>
  <c r="O24" i="12"/>
  <c r="O19" i="7"/>
  <c r="O20" i="7" s="1"/>
  <c r="I25" i="12"/>
  <c r="I50" i="12"/>
  <c r="D31" i="7"/>
  <c r="D32" i="7"/>
  <c r="D27" i="7"/>
  <c r="I26" i="18"/>
  <c r="J25" i="7"/>
  <c r="H26" i="18"/>
  <c r="I25" i="7"/>
  <c r="J27" i="18"/>
  <c r="K27" i="13"/>
  <c r="B8" i="18"/>
  <c r="B9" i="18"/>
  <c r="I5" i="18" s="1"/>
  <c r="I8" i="18" s="1"/>
  <c r="M18" i="20"/>
  <c r="Q17" i="20"/>
  <c r="G18" i="19"/>
  <c r="D17" i="12"/>
  <c r="I10" i="19"/>
  <c r="M25" i="18" l="1"/>
  <c r="L24" i="13"/>
  <c r="L25" i="12"/>
  <c r="E48" i="15"/>
  <c r="D28" i="18"/>
  <c r="D31" i="18" s="1"/>
  <c r="D34" i="18" s="1"/>
  <c r="N57" i="12"/>
  <c r="M14" i="12"/>
  <c r="M41" i="13" s="1"/>
  <c r="N51" i="12"/>
  <c r="M22" i="12"/>
  <c r="N56" i="12"/>
  <c r="M45" i="12"/>
  <c r="M23" i="13" s="1"/>
  <c r="G48" i="15"/>
  <c r="F28" i="18"/>
  <c r="F31" i="18" s="1"/>
  <c r="F34" i="18" s="1"/>
  <c r="L22" i="13"/>
  <c r="L23" i="13"/>
  <c r="D48" i="15"/>
  <c r="C28" i="18"/>
  <c r="C31" i="18" s="1"/>
  <c r="C34" i="18" s="1"/>
  <c r="N53" i="12"/>
  <c r="M41" i="12"/>
  <c r="L8" i="13"/>
  <c r="L19" i="13" s="1"/>
  <c r="L25" i="18"/>
  <c r="M23" i="7"/>
  <c r="O18" i="13"/>
  <c r="O30" i="15"/>
  <c r="N31" i="15"/>
  <c r="N43" i="15"/>
  <c r="J35" i="18"/>
  <c r="I31" i="7"/>
  <c r="I32" i="7"/>
  <c r="I27" i="7"/>
  <c r="N25" i="7"/>
  <c r="N26" i="7" s="1"/>
  <c r="M26" i="18"/>
  <c r="O12" i="25"/>
  <c r="O13" i="25" s="1"/>
  <c r="O14" i="25"/>
  <c r="O21" i="7"/>
  <c r="J31" i="7"/>
  <c r="J32" i="7"/>
  <c r="J27" i="7"/>
  <c r="O25" i="13"/>
  <c r="H31" i="7"/>
  <c r="H32" i="7"/>
  <c r="H27" i="7"/>
  <c r="M19" i="20"/>
  <c r="Q18" i="20"/>
  <c r="G19" i="19"/>
  <c r="E17" i="12"/>
  <c r="F17" i="12"/>
  <c r="G17" i="12"/>
  <c r="H17" i="12"/>
  <c r="I17" i="12"/>
  <c r="J17" i="12"/>
  <c r="K17" i="12"/>
  <c r="L17" i="12"/>
  <c r="E10" i="12"/>
  <c r="F10" i="12"/>
  <c r="G10" i="12"/>
  <c r="H10" i="12"/>
  <c r="H26" i="12" s="1"/>
  <c r="H48" i="12" s="1"/>
  <c r="I10" i="12"/>
  <c r="J10" i="12"/>
  <c r="D10" i="12"/>
  <c r="D26" i="12" s="1"/>
  <c r="D48" i="12" s="1"/>
  <c r="H10" i="19"/>
  <c r="O53" i="12" l="1"/>
  <c r="O41" i="12" s="1"/>
  <c r="N41" i="12"/>
  <c r="N22" i="13" s="1"/>
  <c r="G26" i="12"/>
  <c r="G48" i="12" s="1"/>
  <c r="J48" i="15"/>
  <c r="K48" i="15" s="1"/>
  <c r="K46" i="15" s="1"/>
  <c r="I28" i="18"/>
  <c r="I31" i="18" s="1"/>
  <c r="I34" i="18" s="1"/>
  <c r="I48" i="15"/>
  <c r="H28" i="18"/>
  <c r="H31" i="18" s="1"/>
  <c r="H34" i="18" s="1"/>
  <c r="L26" i="13"/>
  <c r="L29" i="13"/>
  <c r="K30" i="18" s="1"/>
  <c r="O56" i="12"/>
  <c r="O45" i="12" s="1"/>
  <c r="N45" i="12"/>
  <c r="O57" i="12"/>
  <c r="O14" i="12" s="1"/>
  <c r="N14" i="12"/>
  <c r="M24" i="13"/>
  <c r="M25" i="12"/>
  <c r="H48" i="15"/>
  <c r="G28" i="18"/>
  <c r="G31" i="18" s="1"/>
  <c r="G34" i="18" s="1"/>
  <c r="M17" i="12"/>
  <c r="I26" i="12"/>
  <c r="I48" i="12" s="1"/>
  <c r="E26" i="12"/>
  <c r="E48" i="12" s="1"/>
  <c r="O51" i="12"/>
  <c r="O22" i="12" s="1"/>
  <c r="N22" i="12"/>
  <c r="M22" i="13"/>
  <c r="L31" i="7"/>
  <c r="K28" i="18" s="1"/>
  <c r="K27" i="18"/>
  <c r="L27" i="13"/>
  <c r="L26" i="18"/>
  <c r="M25" i="7"/>
  <c r="M26" i="7" s="1"/>
  <c r="O31" i="15"/>
  <c r="O43" i="15"/>
  <c r="J26" i="12"/>
  <c r="J48" i="12" s="1"/>
  <c r="F26" i="12"/>
  <c r="F48" i="12" s="1"/>
  <c r="O23" i="7"/>
  <c r="N25" i="18"/>
  <c r="N8" i="13"/>
  <c r="N19" i="13" s="1"/>
  <c r="M20" i="20"/>
  <c r="Q19" i="20"/>
  <c r="G20" i="19"/>
  <c r="D6" i="15"/>
  <c r="E5" i="15"/>
  <c r="E6" i="15" s="1"/>
  <c r="D6" i="14"/>
  <c r="E5" i="14"/>
  <c r="E6" i="14" s="1"/>
  <c r="D6" i="13"/>
  <c r="E5" i="13"/>
  <c r="E6" i="13" s="1"/>
  <c r="D6" i="12"/>
  <c r="E5" i="12"/>
  <c r="E6" i="12" s="1"/>
  <c r="D6" i="7"/>
  <c r="E5" i="7"/>
  <c r="E6" i="7" s="1"/>
  <c r="H11" i="19"/>
  <c r="O23" i="13" l="1"/>
  <c r="K31" i="18"/>
  <c r="K34" i="18" s="1"/>
  <c r="K35" i="18" s="1"/>
  <c r="N23" i="13"/>
  <c r="L48" i="15"/>
  <c r="M48" i="15" s="1"/>
  <c r="M29" i="13"/>
  <c r="L30" i="18" s="1"/>
  <c r="O24" i="13"/>
  <c r="O25" i="12"/>
  <c r="O41" i="13"/>
  <c r="O17" i="12"/>
  <c r="L28" i="13"/>
  <c r="N24" i="13"/>
  <c r="N26" i="13" s="1"/>
  <c r="N25" i="12"/>
  <c r="N41" i="13"/>
  <c r="N17" i="12"/>
  <c r="O22" i="13"/>
  <c r="O29" i="13" s="1"/>
  <c r="N30" i="18" s="1"/>
  <c r="M8" i="13"/>
  <c r="M19" i="13" s="1"/>
  <c r="M26" i="13" s="1"/>
  <c r="K46" i="13"/>
  <c r="K47" i="15"/>
  <c r="K47" i="13" s="1"/>
  <c r="L46" i="15"/>
  <c r="N27" i="13"/>
  <c r="M27" i="18"/>
  <c r="N31" i="7"/>
  <c r="M28" i="18" s="1"/>
  <c r="N26" i="18"/>
  <c r="O25" i="7"/>
  <c r="O26" i="7" s="1"/>
  <c r="M21" i="20"/>
  <c r="Q20" i="20"/>
  <c r="G21" i="19"/>
  <c r="F5" i="13"/>
  <c r="F6" i="13" s="1"/>
  <c r="F5" i="15"/>
  <c r="F5" i="14"/>
  <c r="F5" i="12"/>
  <c r="F5" i="7"/>
  <c r="I11" i="19"/>
  <c r="N28" i="13" l="1"/>
  <c r="N29" i="13"/>
  <c r="M30" i="18" s="1"/>
  <c r="M31" i="18" s="1"/>
  <c r="M34" i="18" s="1"/>
  <c r="M35" i="18" s="1"/>
  <c r="K9" i="12"/>
  <c r="K10" i="12" s="1"/>
  <c r="K26" i="12" s="1"/>
  <c r="M31" i="7"/>
  <c r="L28" i="18" s="1"/>
  <c r="L31" i="18" s="1"/>
  <c r="L34" i="18" s="1"/>
  <c r="L35" i="18" s="1"/>
  <c r="M27" i="13"/>
  <c r="M28" i="13" s="1"/>
  <c r="L27" i="18"/>
  <c r="O8" i="13"/>
  <c r="O19" i="13" s="1"/>
  <c r="O26" i="13" s="1"/>
  <c r="N48" i="15"/>
  <c r="L46" i="13"/>
  <c r="L47" i="15"/>
  <c r="L47" i="13" s="1"/>
  <c r="K48" i="13"/>
  <c r="M22" i="20"/>
  <c r="Q21" i="20"/>
  <c r="G22" i="19"/>
  <c r="G5" i="13"/>
  <c r="H5" i="13" s="1"/>
  <c r="F6" i="15"/>
  <c r="G5" i="15"/>
  <c r="F6" i="14"/>
  <c r="G5" i="14"/>
  <c r="F6" i="12"/>
  <c r="G5" i="12"/>
  <c r="F6" i="7"/>
  <c r="G5" i="7"/>
  <c r="H12" i="19"/>
  <c r="I12" i="19"/>
  <c r="M46" i="15" l="1"/>
  <c r="M46" i="13" s="1"/>
  <c r="L48" i="13"/>
  <c r="L50" i="13" s="1"/>
  <c r="O31" i="7"/>
  <c r="N28" i="18" s="1"/>
  <c r="N31" i="18" s="1"/>
  <c r="N34" i="18" s="1"/>
  <c r="N35" i="18" s="1"/>
  <c r="B41" i="18" s="1"/>
  <c r="N27" i="18"/>
  <c r="O27" i="13"/>
  <c r="O28" i="13" s="1"/>
  <c r="O48" i="15"/>
  <c r="N46" i="15"/>
  <c r="L9" i="12"/>
  <c r="G6" i="13"/>
  <c r="M23" i="20"/>
  <c r="Q22" i="20"/>
  <c r="G23" i="19"/>
  <c r="G6" i="15"/>
  <c r="H5" i="15"/>
  <c r="H5" i="14"/>
  <c r="G6" i="14"/>
  <c r="I5" i="13"/>
  <c r="H6" i="13"/>
  <c r="H5" i="12"/>
  <c r="G6" i="12"/>
  <c r="H5" i="7"/>
  <c r="G6" i="7"/>
  <c r="M47" i="15" l="1"/>
  <c r="M47" i="13" s="1"/>
  <c r="M48" i="13" s="1"/>
  <c r="M50" i="13" s="1"/>
  <c r="B39" i="18"/>
  <c r="O46" i="15"/>
  <c r="O46" i="13" s="1"/>
  <c r="L10" i="12"/>
  <c r="L26" i="12" s="1"/>
  <c r="N46" i="13"/>
  <c r="N47" i="15"/>
  <c r="N47" i="13" s="1"/>
  <c r="M24" i="20"/>
  <c r="Q23" i="20"/>
  <c r="G24" i="19"/>
  <c r="H6" i="15"/>
  <c r="I5" i="15"/>
  <c r="H6" i="14"/>
  <c r="I5" i="14"/>
  <c r="I6" i="13"/>
  <c r="J5" i="13"/>
  <c r="H6" i="12"/>
  <c r="I5" i="12"/>
  <c r="H6" i="7"/>
  <c r="I5" i="7"/>
  <c r="H13" i="19"/>
  <c r="M9" i="12" l="1"/>
  <c r="M10" i="12" s="1"/>
  <c r="M26" i="12" s="1"/>
  <c r="B43" i="18"/>
  <c r="B45" i="18" s="1"/>
  <c r="O47" i="15"/>
  <c r="O47" i="13" s="1"/>
  <c r="O48" i="13" s="1"/>
  <c r="O50" i="13" s="1"/>
  <c r="N48" i="13"/>
  <c r="N50" i="13" s="1"/>
  <c r="N9" i="12"/>
  <c r="M25" i="20"/>
  <c r="Q24" i="20"/>
  <c r="G25" i="19"/>
  <c r="I6" i="15"/>
  <c r="J5" i="15"/>
  <c r="I6" i="14"/>
  <c r="J5" i="14"/>
  <c r="J6" i="13"/>
  <c r="K5" i="13"/>
  <c r="I6" i="12"/>
  <c r="J5" i="12"/>
  <c r="I6" i="7"/>
  <c r="J5" i="7"/>
  <c r="I13" i="19"/>
  <c r="B46" i="18" l="1"/>
  <c r="Q22" i="18" s="1"/>
  <c r="O9" i="12"/>
  <c r="O10" i="12" s="1"/>
  <c r="O26" i="12" s="1"/>
  <c r="N10" i="12"/>
  <c r="N26" i="12" s="1"/>
  <c r="M26" i="20"/>
  <c r="Q25" i="20"/>
  <c r="G26" i="19"/>
  <c r="K20" i="18"/>
  <c r="J6" i="15"/>
  <c r="K5" i="15"/>
  <c r="J6" i="14"/>
  <c r="K5" i="14"/>
  <c r="L5" i="13"/>
  <c r="K6" i="13"/>
  <c r="J6" i="12"/>
  <c r="K5" i="12"/>
  <c r="J6" i="7"/>
  <c r="K5" i="7"/>
  <c r="I14" i="19"/>
  <c r="M27" i="20" l="1"/>
  <c r="Q26" i="20"/>
  <c r="G27" i="19"/>
  <c r="K21" i="18"/>
  <c r="L20" i="18"/>
  <c r="L5" i="15"/>
  <c r="K6" i="15"/>
  <c r="L5" i="14"/>
  <c r="K6" i="14"/>
  <c r="L6" i="13"/>
  <c r="M5" i="13"/>
  <c r="L5" i="12"/>
  <c r="K6" i="12"/>
  <c r="L5" i="7"/>
  <c r="K6" i="7"/>
  <c r="H14" i="19"/>
  <c r="M28" i="20" l="1"/>
  <c r="Q27" i="20"/>
  <c r="G28" i="19"/>
  <c r="L21" i="18"/>
  <c r="M20" i="18"/>
  <c r="L6" i="15"/>
  <c r="M5" i="15"/>
  <c r="L6" i="14"/>
  <c r="M5" i="14"/>
  <c r="M6" i="13"/>
  <c r="N5" i="13"/>
  <c r="L6" i="12"/>
  <c r="M5" i="12"/>
  <c r="L6" i="7"/>
  <c r="M5" i="7"/>
  <c r="H15" i="19"/>
  <c r="M29" i="20" l="1"/>
  <c r="Q28" i="20"/>
  <c r="G29" i="19"/>
  <c r="M21" i="18"/>
  <c r="N20" i="18"/>
  <c r="N21" i="18" s="1"/>
  <c r="M6" i="15"/>
  <c r="N5" i="15"/>
  <c r="M6" i="14"/>
  <c r="N5" i="14"/>
  <c r="N6" i="13"/>
  <c r="O5" i="13"/>
  <c r="O6" i="13" s="1"/>
  <c r="M6" i="12"/>
  <c r="N5" i="12"/>
  <c r="M6" i="7"/>
  <c r="N5" i="7"/>
  <c r="I15" i="19"/>
  <c r="M30" i="20" l="1"/>
  <c r="Q29" i="20"/>
  <c r="G30" i="19"/>
  <c r="N6" i="15"/>
  <c r="O5" i="15"/>
  <c r="O6" i="15" s="1"/>
  <c r="N6" i="14"/>
  <c r="O5" i="14"/>
  <c r="O6" i="14" s="1"/>
  <c r="N6" i="12"/>
  <c r="O5" i="12"/>
  <c r="O6" i="12" s="1"/>
  <c r="N6" i="7"/>
  <c r="O5" i="7"/>
  <c r="O6" i="7" s="1"/>
  <c r="I16" i="19"/>
  <c r="H16" i="19"/>
  <c r="M31" i="20" l="1"/>
  <c r="Q30" i="20"/>
  <c r="G31" i="19"/>
  <c r="K26" i="13"/>
  <c r="K28" i="13" s="1"/>
  <c r="K50" i="13" s="1"/>
  <c r="K55" i="13" l="1"/>
  <c r="M32" i="20"/>
  <c r="Q31" i="20"/>
  <c r="G32" i="19"/>
  <c r="H17" i="19"/>
  <c r="L54" i="13" l="1"/>
  <c r="L55" i="13" s="1"/>
  <c r="L43" i="12" s="1"/>
  <c r="L46" i="12" s="1"/>
  <c r="L47" i="12" s="1"/>
  <c r="L48" i="12" s="1"/>
  <c r="K43" i="12"/>
  <c r="K46" i="12" s="1"/>
  <c r="K47" i="12" s="1"/>
  <c r="K48" i="12" s="1"/>
  <c r="M33" i="20"/>
  <c r="Q32" i="20"/>
  <c r="G33" i="19"/>
  <c r="I17" i="19"/>
  <c r="M54" i="13" l="1"/>
  <c r="M55" i="13" s="1"/>
  <c r="M43" i="12" s="1"/>
  <c r="M46" i="12" s="1"/>
  <c r="M47" i="12" s="1"/>
  <c r="M48" i="12" s="1"/>
  <c r="M34" i="20"/>
  <c r="Q33" i="20"/>
  <c r="G34" i="19"/>
  <c r="H18" i="19"/>
  <c r="N54" i="13" l="1"/>
  <c r="N55" i="13" s="1"/>
  <c r="N43" i="12" s="1"/>
  <c r="N46" i="12" s="1"/>
  <c r="N47" i="12" s="1"/>
  <c r="N48" i="12" s="1"/>
  <c r="M35" i="20"/>
  <c r="Q34" i="20"/>
  <c r="G35" i="19"/>
  <c r="I18" i="19"/>
  <c r="O54" i="13" l="1"/>
  <c r="O55" i="13" s="1"/>
  <c r="M36" i="20"/>
  <c r="Q35" i="20"/>
  <c r="G36" i="19"/>
  <c r="I19" i="19"/>
  <c r="O43" i="12" l="1"/>
  <c r="O46" i="12" s="1"/>
  <c r="O47" i="12" s="1"/>
  <c r="O48" i="12" s="1"/>
  <c r="M37" i="20"/>
  <c r="Q36" i="20"/>
  <c r="G37" i="19"/>
  <c r="H19" i="19"/>
  <c r="M38" i="20" l="1"/>
  <c r="Q37" i="20"/>
  <c r="G38" i="19"/>
  <c r="H20" i="19"/>
  <c r="M39" i="20" l="1"/>
  <c r="Q38" i="20"/>
  <c r="G39" i="19"/>
  <c r="I20" i="19"/>
  <c r="M40" i="20" l="1"/>
  <c r="Q39" i="20"/>
  <c r="G40" i="19"/>
  <c r="M41" i="20" l="1"/>
  <c r="Q40" i="20"/>
  <c r="G41" i="19"/>
  <c r="H21" i="19"/>
  <c r="M42" i="20" l="1"/>
  <c r="Q41" i="20"/>
  <c r="G42" i="19"/>
  <c r="I21" i="19"/>
  <c r="M43" i="20" l="1"/>
  <c r="Q42" i="20"/>
  <c r="G43" i="19"/>
  <c r="I22" i="19"/>
  <c r="M44" i="20" l="1"/>
  <c r="Q43" i="20"/>
  <c r="G44" i="19"/>
  <c r="H22" i="19"/>
  <c r="M45" i="20" l="1"/>
  <c r="Q44" i="20"/>
  <c r="G45" i="19"/>
  <c r="H23" i="19"/>
  <c r="M46" i="20" l="1"/>
  <c r="Q45" i="20"/>
  <c r="G46" i="19"/>
  <c r="I23" i="19"/>
  <c r="M47" i="20" l="1"/>
  <c r="Q46" i="20"/>
  <c r="G47" i="19"/>
  <c r="H24" i="19"/>
  <c r="M48" i="20" l="1"/>
  <c r="Q47" i="20"/>
  <c r="G48" i="19"/>
  <c r="I24" i="19"/>
  <c r="M49" i="20" l="1"/>
  <c r="Q48" i="20"/>
  <c r="G49" i="19"/>
  <c r="H25" i="19"/>
  <c r="M50" i="20" l="1"/>
  <c r="Q49" i="20"/>
  <c r="G50" i="19"/>
  <c r="I25" i="19"/>
  <c r="M51" i="20" l="1"/>
  <c r="Q50" i="20"/>
  <c r="G51" i="19"/>
  <c r="M52" i="20" l="1"/>
  <c r="Q51" i="20"/>
  <c r="G52" i="19"/>
  <c r="I26" i="19"/>
  <c r="M53" i="20" l="1"/>
  <c r="Q52" i="20"/>
  <c r="G53" i="19"/>
  <c r="H26" i="19"/>
  <c r="M54" i="20" l="1"/>
  <c r="Q53" i="20"/>
  <c r="G54" i="19"/>
  <c r="H27" i="19"/>
  <c r="M55" i="20" l="1"/>
  <c r="Q54" i="20"/>
  <c r="G55" i="19"/>
  <c r="I27" i="19"/>
  <c r="M56" i="20" l="1"/>
  <c r="Q55" i="20"/>
  <c r="G56" i="19"/>
  <c r="H28" i="19"/>
  <c r="M57" i="20" l="1"/>
  <c r="Q56" i="20"/>
  <c r="G57" i="19"/>
  <c r="I28" i="19"/>
  <c r="M58" i="20" l="1"/>
  <c r="Q57" i="20"/>
  <c r="G58" i="19"/>
  <c r="I29" i="19"/>
  <c r="M59" i="20" l="1"/>
  <c r="Q58" i="20"/>
  <c r="G59" i="19"/>
  <c r="H29" i="19"/>
  <c r="M60" i="20" l="1"/>
  <c r="Q59" i="20"/>
  <c r="G60" i="19"/>
  <c r="I30" i="19"/>
  <c r="M61" i="20" l="1"/>
  <c r="Q60" i="20"/>
  <c r="G61" i="19"/>
  <c r="H30" i="19"/>
  <c r="M62" i="20" l="1"/>
  <c r="Q61" i="20"/>
  <c r="G62" i="19"/>
  <c r="I31" i="19"/>
  <c r="M63" i="20" l="1"/>
  <c r="Q62" i="20"/>
  <c r="G63" i="19"/>
  <c r="H31" i="19"/>
  <c r="M64" i="20" l="1"/>
  <c r="Q63" i="20"/>
  <c r="G64" i="19"/>
  <c r="H32" i="19"/>
  <c r="M65" i="20" l="1"/>
  <c r="Q64" i="20"/>
  <c r="G65" i="19"/>
  <c r="I32" i="19"/>
  <c r="M66" i="20" l="1"/>
  <c r="Q65" i="20"/>
  <c r="G66" i="19"/>
  <c r="I33" i="19"/>
  <c r="M67" i="20" l="1"/>
  <c r="Q66" i="20"/>
  <c r="G67" i="19"/>
  <c r="H34" i="19"/>
  <c r="H33" i="19"/>
  <c r="M68" i="20" l="1"/>
  <c r="Q67" i="20"/>
  <c r="G68" i="19"/>
  <c r="I34" i="19"/>
  <c r="H35" i="19"/>
  <c r="M69" i="20" l="1"/>
  <c r="Q68" i="20"/>
  <c r="G69" i="19"/>
  <c r="H36" i="19"/>
  <c r="I35" i="19"/>
  <c r="M70" i="20" l="1"/>
  <c r="Q69" i="20"/>
  <c r="G70" i="19"/>
  <c r="I37" i="19"/>
  <c r="I36" i="19"/>
  <c r="M71" i="20" l="1"/>
  <c r="Q70" i="20"/>
  <c r="G71" i="19"/>
  <c r="H37" i="19"/>
  <c r="H38" i="19"/>
  <c r="M72" i="20" l="1"/>
  <c r="Q71" i="20"/>
  <c r="G72" i="19"/>
  <c r="I38" i="19"/>
  <c r="I39" i="19"/>
  <c r="M73" i="20" l="1"/>
  <c r="Q72" i="20"/>
  <c r="G73" i="19"/>
  <c r="H39" i="19"/>
  <c r="I40" i="19"/>
  <c r="M74" i="20" l="1"/>
  <c r="Q73" i="20"/>
  <c r="G74" i="19"/>
  <c r="H41" i="19"/>
  <c r="H40" i="19"/>
  <c r="M75" i="20" l="1"/>
  <c r="Q74" i="20"/>
  <c r="G75" i="19"/>
  <c r="H42" i="19"/>
  <c r="I41" i="19"/>
  <c r="M76" i="20" l="1"/>
  <c r="Q75" i="20"/>
  <c r="G76" i="19"/>
  <c r="I42" i="19"/>
  <c r="I43" i="19"/>
  <c r="M77" i="20" l="1"/>
  <c r="Q76" i="20"/>
  <c r="G77" i="19"/>
  <c r="I44" i="19"/>
  <c r="H43" i="19"/>
  <c r="M78" i="20" l="1"/>
  <c r="Q77" i="20"/>
  <c r="G78" i="19"/>
  <c r="H44" i="19"/>
  <c r="I45" i="19"/>
  <c r="M79" i="20" l="1"/>
  <c r="Q78" i="20"/>
  <c r="G79" i="19"/>
  <c r="I46" i="19"/>
  <c r="H45" i="19"/>
  <c r="M80" i="20" l="1"/>
  <c r="Q79" i="20"/>
  <c r="G80" i="19"/>
  <c r="H46" i="19"/>
  <c r="H47" i="19"/>
  <c r="M81" i="20" l="1"/>
  <c r="Q80" i="20"/>
  <c r="G81" i="19"/>
  <c r="I48" i="19"/>
  <c r="I47" i="19"/>
  <c r="M82" i="20" l="1"/>
  <c r="Q81" i="20"/>
  <c r="G82" i="19"/>
  <c r="H48" i="19"/>
  <c r="I49" i="19"/>
  <c r="M83" i="20" l="1"/>
  <c r="Q82" i="20"/>
  <c r="G83" i="19"/>
  <c r="H49" i="19"/>
  <c r="H50" i="19"/>
  <c r="M84" i="20" l="1"/>
  <c r="Q83" i="20"/>
  <c r="G84" i="19"/>
  <c r="I51" i="19"/>
  <c r="I50" i="19"/>
  <c r="M85" i="20" l="1"/>
  <c r="Q84" i="20"/>
  <c r="G85" i="19"/>
  <c r="I52" i="19"/>
  <c r="H51" i="19"/>
  <c r="M86" i="20" l="1"/>
  <c r="Q85" i="20"/>
  <c r="G86" i="19"/>
  <c r="H52" i="19"/>
  <c r="M87" i="20" l="1"/>
  <c r="Q86" i="20"/>
  <c r="G87" i="19"/>
  <c r="H53" i="19"/>
  <c r="M88" i="20" l="1"/>
  <c r="Q87" i="20"/>
  <c r="G88" i="19"/>
  <c r="I54" i="19"/>
  <c r="H54" i="19"/>
  <c r="I53" i="19"/>
  <c r="M89" i="20" l="1"/>
  <c r="Q88" i="20"/>
  <c r="G89" i="19"/>
  <c r="H55" i="19"/>
  <c r="M90" i="20" l="1"/>
  <c r="Q89" i="20"/>
  <c r="G90" i="19"/>
  <c r="I56" i="19"/>
  <c r="I55" i="19"/>
  <c r="M91" i="20" l="1"/>
  <c r="Q90" i="20"/>
  <c r="G91" i="19"/>
  <c r="H57" i="19"/>
  <c r="I57" i="19"/>
  <c r="H56" i="19"/>
  <c r="M92" i="20" l="1"/>
  <c r="Q91" i="20"/>
  <c r="G92" i="19"/>
  <c r="I58" i="19"/>
  <c r="M93" i="20" l="1"/>
  <c r="Q92" i="20"/>
  <c r="G93" i="19"/>
  <c r="H58" i="19"/>
  <c r="H59" i="19"/>
  <c r="M94" i="20" l="1"/>
  <c r="Q94" i="20" s="1"/>
  <c r="Q93" i="20"/>
  <c r="G94" i="19"/>
  <c r="I59" i="19"/>
  <c r="I60" i="19"/>
  <c r="H60" i="19"/>
  <c r="G95" i="19" l="1"/>
  <c r="I61" i="19"/>
  <c r="G96" i="19" l="1"/>
  <c r="I62" i="19"/>
  <c r="H62" i="19"/>
  <c r="H61" i="19"/>
  <c r="G97" i="19" l="1"/>
  <c r="H63" i="19"/>
  <c r="I63" i="19"/>
  <c r="G98" i="19" l="1"/>
  <c r="I64" i="19"/>
  <c r="H64" i="19"/>
  <c r="G99" i="19" l="1"/>
  <c r="I65" i="19"/>
  <c r="G100" i="19" l="1"/>
  <c r="I66" i="19"/>
  <c r="H66" i="19"/>
  <c r="H65" i="19"/>
  <c r="G101" i="19" l="1"/>
  <c r="H67" i="19"/>
  <c r="I67" i="19"/>
  <c r="G102" i="19" l="1"/>
  <c r="I68" i="19"/>
  <c r="H68" i="19"/>
  <c r="G103" i="19" l="1"/>
  <c r="I69" i="19"/>
  <c r="G104" i="19" l="1"/>
  <c r="H69" i="19"/>
  <c r="G105" i="19" l="1"/>
  <c r="I70" i="19"/>
  <c r="H70" i="19"/>
  <c r="G106" i="19" l="1"/>
  <c r="I71" i="19"/>
  <c r="H71" i="19"/>
  <c r="G107" i="19" l="1"/>
  <c r="H72" i="19"/>
  <c r="I72" i="19"/>
  <c r="G108" i="19" l="1"/>
  <c r="I73" i="19"/>
  <c r="G109" i="19" l="1"/>
  <c r="H73" i="19"/>
  <c r="G110" i="19" l="1"/>
  <c r="H74" i="19"/>
  <c r="I74" i="19"/>
  <c r="G111" i="19" l="1"/>
  <c r="G112" i="19" s="1"/>
  <c r="I75" i="19"/>
  <c r="H75" i="19"/>
  <c r="G113" i="19" l="1"/>
  <c r="I76" i="19"/>
  <c r="H76" i="19"/>
  <c r="G114" i="19" l="1"/>
  <c r="H77" i="19"/>
  <c r="I77" i="19"/>
  <c r="G115" i="19" l="1"/>
  <c r="H78" i="19"/>
  <c r="I78" i="19"/>
  <c r="G116" i="19" l="1"/>
  <c r="H79" i="19"/>
  <c r="I79" i="19"/>
  <c r="G117" i="19" l="1"/>
  <c r="I80" i="19"/>
  <c r="H80" i="19"/>
  <c r="G118" i="19" l="1"/>
  <c r="I81" i="19"/>
  <c r="H81" i="19"/>
  <c r="G119" i="19" l="1"/>
  <c r="H82" i="19"/>
  <c r="I82" i="19"/>
  <c r="G120" i="19" l="1"/>
  <c r="H83" i="19"/>
  <c r="I83" i="19"/>
  <c r="G121" i="19" l="1"/>
  <c r="I84" i="19"/>
  <c r="G122" i="19" l="1"/>
  <c r="I85" i="19"/>
  <c r="H85" i="19"/>
  <c r="H84" i="19"/>
  <c r="G123" i="19" l="1"/>
  <c r="H86" i="19"/>
  <c r="I86" i="19"/>
  <c r="G124" i="19" l="1"/>
  <c r="I87" i="19"/>
  <c r="G125" i="19" l="1"/>
  <c r="H87" i="19"/>
  <c r="H88" i="19"/>
  <c r="I88" i="19"/>
  <c r="G126" i="19" l="1"/>
  <c r="H89" i="19"/>
  <c r="G127" i="19" l="1"/>
  <c r="I89" i="19"/>
  <c r="H90" i="19"/>
  <c r="G128" i="19" l="1"/>
  <c r="I90" i="19"/>
  <c r="H91" i="19"/>
  <c r="G129" i="19" l="1"/>
  <c r="I91" i="19"/>
  <c r="I92" i="19"/>
  <c r="G130" i="19" l="1"/>
  <c r="I93" i="19"/>
  <c r="H92" i="19"/>
  <c r="G131" i="19" l="1"/>
  <c r="H32" i="25"/>
  <c r="J32" i="25"/>
  <c r="I32" i="25"/>
  <c r="G32" i="25"/>
  <c r="F32" i="25"/>
  <c r="D32" i="25"/>
  <c r="E32" i="25"/>
  <c r="H93" i="19"/>
  <c r="H94" i="19"/>
  <c r="I94" i="19"/>
  <c r="E48" i="25" l="1"/>
  <c r="D23" i="18"/>
  <c r="D48" i="25"/>
  <c r="C23" i="18"/>
  <c r="F48" i="25"/>
  <c r="E23" i="18"/>
  <c r="H48" i="25"/>
  <c r="G23" i="18"/>
  <c r="I48" i="25"/>
  <c r="H23" i="18"/>
  <c r="J48" i="25"/>
  <c r="I23" i="18"/>
  <c r="G48" i="25"/>
  <c r="F23" i="18"/>
</calcChain>
</file>

<file path=xl/comments1.xml><?xml version="1.0" encoding="utf-8"?>
<comments xmlns="http://schemas.openxmlformats.org/spreadsheetml/2006/main">
  <authors>
    <author>Author</author>
  </authors>
  <commentList>
    <comment ref="H1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calculated
</t>
        </r>
      </text>
    </comment>
  </commentList>
</comments>
</file>

<file path=xl/sharedStrings.xml><?xml version="1.0" encoding="utf-8"?>
<sst xmlns="http://schemas.openxmlformats.org/spreadsheetml/2006/main" count="1056" uniqueCount="439">
  <si>
    <t xml:space="preserve">Interglobe Aviation </t>
  </si>
  <si>
    <t>Template</t>
  </si>
  <si>
    <t>All Data in Millions INR, except per share</t>
  </si>
  <si>
    <r>
      <t>(</t>
    </r>
    <r>
      <rPr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=Assumption, </t>
    </r>
    <r>
      <rPr>
        <sz val="11"/>
        <color rgb="FF0070C0"/>
        <rFont val="Calibri"/>
        <family val="2"/>
        <scheme val="minor"/>
      </rPr>
      <t>Blue</t>
    </r>
    <r>
      <rPr>
        <sz val="11"/>
        <color theme="1"/>
        <rFont val="Calibri"/>
        <family val="2"/>
        <scheme val="minor"/>
      </rPr>
      <t>=Actual,</t>
    </r>
    <r>
      <rPr>
        <b/>
        <sz val="11"/>
        <color theme="1"/>
        <rFont val="Calibri"/>
        <family val="2"/>
        <scheme val="minor"/>
      </rPr>
      <t xml:space="preserve"> Black</t>
    </r>
    <r>
      <rPr>
        <sz val="11"/>
        <color theme="1"/>
        <rFont val="Calibri"/>
        <family val="2"/>
        <scheme val="minor"/>
      </rPr>
      <t>=Calculation)</t>
    </r>
  </si>
  <si>
    <t>Date</t>
  </si>
  <si>
    <t>Year</t>
  </si>
  <si>
    <t>Equity and Liabilities</t>
  </si>
  <si>
    <t>Shareholders’ funds</t>
  </si>
  <si>
    <t>Share capital</t>
  </si>
  <si>
    <t>Reserves and surplus</t>
  </si>
  <si>
    <t>Non-current liabilities</t>
  </si>
  <si>
    <t>Deferred tax liabilities (net)</t>
  </si>
  <si>
    <t>Long-term borrowings</t>
  </si>
  <si>
    <t>Other long-term liabilities</t>
  </si>
  <si>
    <t>Long-term provisions</t>
  </si>
  <si>
    <t>Deferred incentives</t>
  </si>
  <si>
    <t>Current liabilities</t>
  </si>
  <si>
    <t>Short-term borrowings</t>
  </si>
  <si>
    <t>Trade payables</t>
  </si>
  <si>
    <t>Other current liabilities</t>
  </si>
  <si>
    <t>Short-term provision</t>
  </si>
  <si>
    <t>Total</t>
  </si>
  <si>
    <t>Non-current assets</t>
  </si>
  <si>
    <t>Fixed assets</t>
  </si>
  <si>
    <t>Tangible fixed assets</t>
  </si>
  <si>
    <t>Intangible fixed assets</t>
  </si>
  <si>
    <t>Capital work in progress</t>
  </si>
  <si>
    <t>Non-current investments</t>
  </si>
  <si>
    <t>Deferred tax asset (net)</t>
  </si>
  <si>
    <t>Long-term loans and advances</t>
  </si>
  <si>
    <t>Other non-current assets</t>
  </si>
  <si>
    <t>Current assets</t>
  </si>
  <si>
    <t>Current investments</t>
  </si>
  <si>
    <t>Inventories</t>
  </si>
  <si>
    <t>Intangible assets under development</t>
  </si>
  <si>
    <t>Trade receivables</t>
  </si>
  <si>
    <t>Cash and bank balances</t>
  </si>
  <si>
    <t>Short-term loans and advances</t>
  </si>
  <si>
    <t>Other current assets</t>
  </si>
  <si>
    <t>Checksum</t>
  </si>
  <si>
    <t xml:space="preserve"> </t>
  </si>
  <si>
    <t>Revenue from operations</t>
  </si>
  <si>
    <t>Purchase of stock in trade</t>
  </si>
  <si>
    <t>Changes in inventories of stock in trade</t>
  </si>
  <si>
    <t>Employee benefits</t>
  </si>
  <si>
    <t>Other expenses</t>
  </si>
  <si>
    <t>Aircraft fuel expenses</t>
  </si>
  <si>
    <t>Aircraft and engine rentals</t>
  </si>
  <si>
    <t>Less: Cash and non-cash incentives</t>
  </si>
  <si>
    <t>Aircraft and engine rentals (net)</t>
  </si>
  <si>
    <t>EBITDA</t>
  </si>
  <si>
    <t>Operating Expenses(Excluding fuel)</t>
  </si>
  <si>
    <t>EBITDAR(fuel)</t>
  </si>
  <si>
    <t>EBITDAR</t>
  </si>
  <si>
    <t>Depreciation and amortisation</t>
  </si>
  <si>
    <t>EBIT</t>
  </si>
  <si>
    <t>Finance costs</t>
  </si>
  <si>
    <t>EBT</t>
  </si>
  <si>
    <t>Other Income</t>
  </si>
  <si>
    <t>Total Revenue</t>
  </si>
  <si>
    <t>Tax</t>
  </si>
  <si>
    <t>Current period</t>
  </si>
  <si>
    <t>Less: MAT credit entitlement</t>
  </si>
  <si>
    <t>Deferred tax credit / (charge)</t>
  </si>
  <si>
    <t>EAT</t>
  </si>
  <si>
    <t>Basic (Rs.)</t>
  </si>
  <si>
    <t>Diluted (Rs.)</t>
  </si>
  <si>
    <t>Earnings per equity share of face value of Rs. 1000 each</t>
  </si>
  <si>
    <t>Cash flows from operating activities</t>
  </si>
  <si>
    <t>Net profit before tax</t>
  </si>
  <si>
    <t>Adjustments for:</t>
  </si>
  <si>
    <t>Provisions</t>
  </si>
  <si>
    <t>Loss / (profit) on sale of fixed asset (net)</t>
  </si>
  <si>
    <t>Interest expense</t>
  </si>
  <si>
    <t>Finance lease charges</t>
  </si>
  <si>
    <t>Interest income on fixed deposits</t>
  </si>
  <si>
    <t>Net gain on sale of current investments</t>
  </si>
  <si>
    <t>Dividend from current investments</t>
  </si>
  <si>
    <t>Others</t>
  </si>
  <si>
    <t>Operating profit before working capital changes</t>
  </si>
  <si>
    <t>Adjustment for:</t>
  </si>
  <si>
    <t>(Increase)/decrease in trade receivables</t>
  </si>
  <si>
    <t>(Increase)/decrease in inventories</t>
  </si>
  <si>
    <t>Taxes paid</t>
  </si>
  <si>
    <t>Increase/(decrease) in trade payables, other liabilities and provisions</t>
  </si>
  <si>
    <t>Increase/(decrease) in deferred incentives</t>
  </si>
  <si>
    <t>Cash generated from operating activities</t>
  </si>
  <si>
    <t>Net cash generated from operating activities</t>
  </si>
  <si>
    <t>Cash flows from investing activities</t>
  </si>
  <si>
    <t>Purchase of fixed assets (including capital advances), net of cash incentives</t>
  </si>
  <si>
    <t>Proceeds from sale of fixed assets</t>
  </si>
  <si>
    <t>Purchase/Sale of investment</t>
  </si>
  <si>
    <t>Interest received</t>
  </si>
  <si>
    <t>Dividend received</t>
  </si>
  <si>
    <t>Net cash (used) in investing activities</t>
  </si>
  <si>
    <t>Cash flows from financing activities</t>
  </si>
  <si>
    <t>Interest paid</t>
  </si>
  <si>
    <t>Finance lease charges paid</t>
  </si>
  <si>
    <t>Repayment of share capital</t>
  </si>
  <si>
    <t>Proceeds/Repayment  from Loans</t>
  </si>
  <si>
    <t>Proceed from Share issue</t>
  </si>
  <si>
    <t>Securities Premium</t>
  </si>
  <si>
    <t>Dividend paid</t>
  </si>
  <si>
    <t>Tax paid on dividends</t>
  </si>
  <si>
    <t>Net cash generated from / (used in) financing activities</t>
  </si>
  <si>
    <t>Net increase / (decrease) in cash and cash equivalents during the year / period</t>
  </si>
  <si>
    <t>Effect of exchange rate difference on cash and cash equivalents held in foreign currency</t>
  </si>
  <si>
    <t>Opening Balance</t>
  </si>
  <si>
    <t>Closing Balance</t>
  </si>
  <si>
    <t>(Increase)/decrease in loans and advances and other assets</t>
  </si>
  <si>
    <t>Change in other long term liabilities</t>
  </si>
  <si>
    <t>Block hours</t>
  </si>
  <si>
    <t>No of aircrafts</t>
  </si>
  <si>
    <t>Block hours per aircraft</t>
  </si>
  <si>
    <t>No of days</t>
  </si>
  <si>
    <t>Block hours per day</t>
  </si>
  <si>
    <t>Average fuel price</t>
  </si>
  <si>
    <t>Fuel comsumption in million Lt</t>
  </si>
  <si>
    <t>Fuel consumed per block hour</t>
  </si>
  <si>
    <t>Growth</t>
  </si>
  <si>
    <t>Passenger ticket revenue</t>
  </si>
  <si>
    <t>Ancillary Revenue</t>
  </si>
  <si>
    <t>Other operating revenue</t>
  </si>
  <si>
    <t>ASK (millions)</t>
  </si>
  <si>
    <t>ASK per aircraft</t>
  </si>
  <si>
    <t>RPK (millions)</t>
  </si>
  <si>
    <t>Load Factor</t>
  </si>
  <si>
    <t>Yields (Rs)</t>
  </si>
  <si>
    <t>Month</t>
  </si>
  <si>
    <t>Delhi</t>
  </si>
  <si>
    <t>Kolkata</t>
  </si>
  <si>
    <t xml:space="preserve">Mumbai </t>
  </si>
  <si>
    <t>Chennai</t>
  </si>
  <si>
    <t>July 01, 2011</t>
  </si>
  <si>
    <t>June 16, 2011</t>
  </si>
  <si>
    <t>June 01, 2011</t>
  </si>
  <si>
    <t>May 16, 2011</t>
  </si>
  <si>
    <t>May 01, 2011</t>
  </si>
  <si>
    <t>April 16, 2011</t>
  </si>
  <si>
    <t>April 01, 2011</t>
  </si>
  <si>
    <t>March 16, 2011</t>
  </si>
  <si>
    <t>March 01, 2011</t>
  </si>
  <si>
    <t>February 16, 2011</t>
  </si>
  <si>
    <t>February 01, 2011</t>
  </si>
  <si>
    <t>January 16, 2011</t>
  </si>
  <si>
    <t>January 01, 2011</t>
  </si>
  <si>
    <t>October 16, 2011</t>
  </si>
  <si>
    <t>October 15, 2011</t>
  </si>
  <si>
    <t>October 01, 2011</t>
  </si>
  <si>
    <t>September 16, 2011</t>
  </si>
  <si>
    <t>September 01, 2011</t>
  </si>
  <si>
    <t>August 16, 2011</t>
  </si>
  <si>
    <t>August 01, 2011</t>
  </si>
  <si>
    <t>December 16, 2011</t>
  </si>
  <si>
    <t>December 01, 2011</t>
  </si>
  <si>
    <t>November 16, 2011</t>
  </si>
  <si>
    <t>November 01, 2011</t>
  </si>
  <si>
    <t>July 16, 2012</t>
  </si>
  <si>
    <t>July 01, 2012</t>
  </si>
  <si>
    <t>June 16, 2012</t>
  </si>
  <si>
    <t>June 01, 2012</t>
  </si>
  <si>
    <t>May 16, 2012</t>
  </si>
  <si>
    <t>May 01, 2012</t>
  </si>
  <si>
    <t>April 16, 2012</t>
  </si>
  <si>
    <t>April 01, 2012</t>
  </si>
  <si>
    <t>March 16, 2012</t>
  </si>
  <si>
    <t>March 07, 2012</t>
  </si>
  <si>
    <t>March 01, 2012</t>
  </si>
  <si>
    <t>February 16, 2012</t>
  </si>
  <si>
    <t>February 01, 2012</t>
  </si>
  <si>
    <t>January 16, 2012</t>
  </si>
  <si>
    <t>January 01, 2012</t>
  </si>
  <si>
    <t>July 16, 2011</t>
  </si>
  <si>
    <t>December 16, 2010</t>
  </si>
  <si>
    <t>December 01, 2010</t>
  </si>
  <si>
    <t>November 16, 2010</t>
  </si>
  <si>
    <t>November 01, 2010</t>
  </si>
  <si>
    <t>October 16, 2010</t>
  </si>
  <si>
    <t>October 01, 2010</t>
  </si>
  <si>
    <t>September 16, 2010</t>
  </si>
  <si>
    <t>September 01, 2010</t>
  </si>
  <si>
    <t>August 16, 2010</t>
  </si>
  <si>
    <t>August 01, 2010</t>
  </si>
  <si>
    <t>July 16, 2010</t>
  </si>
  <si>
    <t>July 01, 2010</t>
  </si>
  <si>
    <t>June 16, 2010</t>
  </si>
  <si>
    <t>June 01, 2010</t>
  </si>
  <si>
    <t>May 16, 2010</t>
  </si>
  <si>
    <t>May 01, 2010</t>
  </si>
  <si>
    <t>April 16, 2010</t>
  </si>
  <si>
    <t>April 01, 2010</t>
  </si>
  <si>
    <t>December 01,2017</t>
  </si>
  <si>
    <t>November 01,2017</t>
  </si>
  <si>
    <t>October 01,2017</t>
  </si>
  <si>
    <t>September 01,2017</t>
  </si>
  <si>
    <t>August 01, 2017</t>
  </si>
  <si>
    <t>48,110 .00</t>
  </si>
  <si>
    <t>July 01, 2017</t>
  </si>
  <si>
    <t>June 01, 2017</t>
  </si>
  <si>
    <t>May 01, 2017</t>
  </si>
  <si>
    <t>April 01, 2017</t>
  </si>
  <si>
    <t>March 01,2017</t>
  </si>
  <si>
    <t>February 01,2017</t>
  </si>
  <si>
    <t>January 01, 2017</t>
  </si>
  <si>
    <t>December 01,2016</t>
  </si>
  <si>
    <t>November 01,2016</t>
  </si>
  <si>
    <t>October 01,2016</t>
  </si>
  <si>
    <t>September 01,2016</t>
  </si>
  <si>
    <t>August 01,2016</t>
  </si>
  <si>
    <t>July 01,2016</t>
  </si>
  <si>
    <t>June 01,2016</t>
  </si>
  <si>
    <t>May 01,2016</t>
  </si>
  <si>
    <t>April 09,2016</t>
  </si>
  <si>
    <t>-</t>
  </si>
  <si>
    <t>April 01,2016</t>
  </si>
  <si>
    <t>March 10,2016</t>
  </si>
  <si>
    <t>March 01,2016</t>
  </si>
  <si>
    <t>February 01,2016</t>
  </si>
  <si>
    <t>January 01, 2016</t>
  </si>
  <si>
    <t>December 01, 2015</t>
  </si>
  <si>
    <t>November 16, 2015</t>
  </si>
  <si>
    <t>November 01, 2015</t>
  </si>
  <si>
    <t>October 01, 2015</t>
  </si>
  <si>
    <t>September 01, 2015</t>
  </si>
  <si>
    <t>August 01, 2015</t>
  </si>
  <si>
    <t>July 01, 2015</t>
  </si>
  <si>
    <t>June 01, 2015</t>
  </si>
  <si>
    <t>May 01, 2015</t>
  </si>
  <si>
    <t>April 01, 2015</t>
  </si>
  <si>
    <t>March 01, 2015</t>
  </si>
  <si>
    <t>February 01, 2015</t>
  </si>
  <si>
    <t>January 01, 2015</t>
  </si>
  <si>
    <t>December 01, 2014</t>
  </si>
  <si>
    <t>November 01, 2014</t>
  </si>
  <si>
    <t>October 01, 2014</t>
  </si>
  <si>
    <t>September 01, 2014</t>
  </si>
  <si>
    <t>August 01, 2014</t>
  </si>
  <si>
    <t>July 01, 2014</t>
  </si>
  <si>
    <t>June 25, 2014</t>
  </si>
  <si>
    <t>June 01, 2014</t>
  </si>
  <si>
    <t>May 01, 2014</t>
  </si>
  <si>
    <t>April 01, 2014</t>
  </si>
  <si>
    <t>March 01, 2014</t>
  </si>
  <si>
    <t>February 01, 2014</t>
  </si>
  <si>
    <t>January 01, 2014</t>
  </si>
  <si>
    <t>December 01, 2013</t>
  </si>
  <si>
    <t>November 01, 2013</t>
  </si>
  <si>
    <t>October 01, 2013</t>
  </si>
  <si>
    <t>September 01, 2013</t>
  </si>
  <si>
    <t>August 01, 2013</t>
  </si>
  <si>
    <t>July 01, 2013</t>
  </si>
  <si>
    <t>June 01, 2013</t>
  </si>
  <si>
    <t>May 01, 2013</t>
  </si>
  <si>
    <t>April 01, 2013</t>
  </si>
  <si>
    <t>March 01, 2013</t>
  </si>
  <si>
    <t>February 01, 2013</t>
  </si>
  <si>
    <t>January 01, 2013</t>
  </si>
  <si>
    <t>December 01, 2012</t>
  </si>
  <si>
    <t>November 01, 2012</t>
  </si>
  <si>
    <t>October 16, 2012</t>
  </si>
  <si>
    <t>October 01, 2012</t>
  </si>
  <si>
    <t>September 16, 2012</t>
  </si>
  <si>
    <t>September 01, 2012</t>
  </si>
  <si>
    <t>August 16, 2012</t>
  </si>
  <si>
    <t>August 01, 2012</t>
  </si>
  <si>
    <t>Depreciation</t>
  </si>
  <si>
    <t>Adjustments</t>
  </si>
  <si>
    <t>Amortisation rate</t>
  </si>
  <si>
    <t>Average</t>
  </si>
  <si>
    <t>ATF Price (Rs)</t>
  </si>
  <si>
    <t>Brent ($)</t>
  </si>
  <si>
    <t>US Oil ($)</t>
  </si>
  <si>
    <t>Premium</t>
  </si>
  <si>
    <t>USD/INR</t>
  </si>
  <si>
    <t>MCX</t>
  </si>
  <si>
    <t>2018E</t>
  </si>
  <si>
    <t>2019E</t>
  </si>
  <si>
    <t>2020E</t>
  </si>
  <si>
    <t>2021E</t>
  </si>
  <si>
    <t>2022E</t>
  </si>
  <si>
    <t>2023E</t>
  </si>
  <si>
    <t>ASK (in million)</t>
  </si>
  <si>
    <t>RPK (in million)</t>
  </si>
  <si>
    <t>Passenger Load Factor (%)</t>
  </si>
  <si>
    <t>RASK (Rs.)</t>
  </si>
  <si>
    <t>Yield (Rs.) (passenger revenue in ₹ / revenue passenger kms)</t>
  </si>
  <si>
    <t>CASK (Rs.)</t>
  </si>
  <si>
    <t>CASK ex-fuel (Rs.)</t>
  </si>
  <si>
    <t>Number of Scheduled Passengers Carried (in thousands)</t>
  </si>
  <si>
    <t>Passenger Revenue</t>
  </si>
  <si>
    <t>Passenger
ticket revenue</t>
  </si>
  <si>
    <t>Ancillary
revenue</t>
  </si>
  <si>
    <t>Other
operating
revenue</t>
  </si>
  <si>
    <t>Number of Planes</t>
  </si>
  <si>
    <t>ASK Per Plane</t>
  </si>
  <si>
    <t>Average Fare</t>
  </si>
  <si>
    <t>(a) Revenue
 from 
Ancillary
 Passenger
 related
 services</t>
  </si>
  <si>
    <t>(b) Cargo
 services</t>
  </si>
  <si>
    <t>(c) Tours and
 packages</t>
  </si>
  <si>
    <t>–</t>
  </si>
  <si>
    <t>In-flight sales</t>
  </si>
  <si>
    <t>Advertisement</t>
  </si>
  <si>
    <t>Commission</t>
  </si>
  <si>
    <t>Total Revenues
 from Ancillary
 Products and
 Services</t>
  </si>
  <si>
    <t>Growth in Passengers</t>
  </si>
  <si>
    <t>Block Hours</t>
  </si>
  <si>
    <t>O</t>
  </si>
  <si>
    <t>C</t>
  </si>
  <si>
    <t>Q2</t>
  </si>
  <si>
    <t>Q1</t>
  </si>
  <si>
    <t>Block Hours Per Aircraft</t>
  </si>
  <si>
    <t>Lease Payments</t>
  </si>
  <si>
    <t>Operating Lease Expense</t>
  </si>
  <si>
    <t>Finance Lease Interest Payment</t>
  </si>
  <si>
    <t>Finance Lease Principal Payment</t>
  </si>
  <si>
    <t>Cash and non-cash
incentives</t>
  </si>
  <si>
    <t>Finance lease charges (Interest)</t>
  </si>
  <si>
    <t xml:space="preserve">Total Lease Payment </t>
  </si>
  <si>
    <t>Total Lease Payment ( Net of Incentive )</t>
  </si>
  <si>
    <t xml:space="preserve">operating Lease </t>
  </si>
  <si>
    <t>1 Year</t>
  </si>
  <si>
    <t>1-5 Year</t>
  </si>
  <si>
    <t>&gt;5 Years</t>
  </si>
  <si>
    <t>Change in inventories of
stock in trade</t>
  </si>
  <si>
    <t>Landing fee and en-route
charges</t>
  </si>
  <si>
    <t>Maintenance Cost</t>
  </si>
  <si>
    <t>Selling and Distribution
Cost</t>
  </si>
  <si>
    <t>Other Operating Expenses</t>
  </si>
  <si>
    <t>Depreciation and
Amortization</t>
  </si>
  <si>
    <t>Total Expenses</t>
  </si>
  <si>
    <t>Total Finance %</t>
  </si>
  <si>
    <t>Incentives</t>
  </si>
  <si>
    <t>Other Expenses</t>
  </si>
  <si>
    <t>Capitalized Operating Lease</t>
  </si>
  <si>
    <t>COST OF DEBT</t>
  </si>
  <si>
    <t xml:space="preserve"> current interest expenses </t>
  </si>
  <si>
    <t>Country Risk Free Rate</t>
  </si>
  <si>
    <t xml:space="preserve">Interest  coverage ratio </t>
  </si>
  <si>
    <t xml:space="preserve">Estimated Bond Rating </t>
  </si>
  <si>
    <t>Aa2/AA</t>
  </si>
  <si>
    <t xml:space="preserve">Company Default Spread </t>
  </si>
  <si>
    <t xml:space="preserve">Country Default Spread </t>
  </si>
  <si>
    <t xml:space="preserve"> Cost of Debt </t>
  </si>
  <si>
    <t>Marginal Tax Rate</t>
  </si>
  <si>
    <t>Bottom Up Beta</t>
  </si>
  <si>
    <t>Cost Of Equity</t>
  </si>
  <si>
    <t>Market Value of Equity</t>
  </si>
  <si>
    <t>Market Value of Debt</t>
  </si>
  <si>
    <t>WACC</t>
  </si>
  <si>
    <t>COST OF EQUITY</t>
  </si>
  <si>
    <t>Unlevered beta For Sector</t>
  </si>
  <si>
    <t>Debt to Equity of Indigo</t>
  </si>
  <si>
    <t>Mean Beta for Sector</t>
  </si>
  <si>
    <t>Mean D/E for Sector</t>
  </si>
  <si>
    <t>Levered Bottom Up Beta for IndiGo</t>
  </si>
  <si>
    <t>BOTTOM-UP BETA</t>
  </si>
  <si>
    <t>Rm</t>
  </si>
  <si>
    <t>Rm - Rf</t>
  </si>
  <si>
    <t>Capitalized Operating Leases</t>
  </si>
  <si>
    <t>Adjusted Market Value of Debt</t>
  </si>
  <si>
    <t>DEBT CALCULATION</t>
  </si>
  <si>
    <t xml:space="preserve">Interest Expense </t>
  </si>
  <si>
    <t>Loan Type</t>
  </si>
  <si>
    <t>Amount</t>
  </si>
  <si>
    <t xml:space="preserve">Interest </t>
  </si>
  <si>
    <t>Maturity</t>
  </si>
  <si>
    <t>Foreign Currency Term Loan</t>
  </si>
  <si>
    <t>Finance Lease</t>
  </si>
  <si>
    <t>Weights</t>
  </si>
  <si>
    <t>Sum Total</t>
  </si>
  <si>
    <t>Earnings before interest and taxes</t>
  </si>
  <si>
    <t>Rf</t>
  </si>
  <si>
    <t>Weighted Avg Maturity of Debt</t>
  </si>
  <si>
    <t>Book Value of Debt (Sept 17)</t>
  </si>
  <si>
    <t>Revenues</t>
  </si>
  <si>
    <t>Tax Expense</t>
  </si>
  <si>
    <t>Net Operating Profit After Tax (NOPAT)</t>
  </si>
  <si>
    <t>Depreciation &amp; Amortisation</t>
  </si>
  <si>
    <t>Working Capital Change</t>
  </si>
  <si>
    <t>Operating Cash Flow</t>
  </si>
  <si>
    <t>Capex</t>
  </si>
  <si>
    <t>RASK - CASK (Rs)</t>
  </si>
  <si>
    <t>Tangible assets</t>
  </si>
  <si>
    <t>Addition</t>
  </si>
  <si>
    <t>Addition to Aircaft</t>
  </si>
  <si>
    <t>Gross Amount of addition</t>
  </si>
  <si>
    <t>Cost per aircraft</t>
  </si>
  <si>
    <t>Depreciation rate</t>
  </si>
  <si>
    <t>Intangible assets</t>
  </si>
  <si>
    <t>Amortisation</t>
  </si>
  <si>
    <t>Repayment</t>
  </si>
  <si>
    <t>Finance cost</t>
  </si>
  <si>
    <t>Interest Rate</t>
  </si>
  <si>
    <t>Long-term deferred incentives</t>
  </si>
  <si>
    <t>Short-term deferred incentives</t>
  </si>
  <si>
    <t>Additional Aircraft</t>
  </si>
  <si>
    <t>Additional incentive</t>
  </si>
  <si>
    <t>Incentive per aircraft</t>
  </si>
  <si>
    <t>Short -term as a % of Long term</t>
  </si>
  <si>
    <t>Effective Tax rate</t>
  </si>
  <si>
    <t>Payable as a % of cost</t>
  </si>
  <si>
    <t>other current liabilities as a % of operating cost</t>
  </si>
  <si>
    <t>Short term provisions as a % of operating cost</t>
  </si>
  <si>
    <t>Inventory as % of total expenses</t>
  </si>
  <si>
    <t>Trade receivable as a % of Revenue</t>
  </si>
  <si>
    <t>Short term loans and advances as a %pf sales</t>
  </si>
  <si>
    <t>Other current Assets as a % of sales</t>
  </si>
  <si>
    <t>Other long term liabilities as a % of Rental</t>
  </si>
  <si>
    <t>Deposits</t>
  </si>
  <si>
    <t>Dividend Paid</t>
  </si>
  <si>
    <t>Dividend Tax</t>
  </si>
  <si>
    <t>Dividend Payout Ratio (Dividends paid)</t>
  </si>
  <si>
    <t>Dividend tax as a % of Dividends Paid</t>
  </si>
  <si>
    <t>Change in Working Capital</t>
  </si>
  <si>
    <t>Interest</t>
  </si>
  <si>
    <t>FCFF</t>
  </si>
  <si>
    <t>PV of FCFF</t>
  </si>
  <si>
    <t>Terminal Value</t>
  </si>
  <si>
    <t>Sum of PV of Cash Flows</t>
  </si>
  <si>
    <t xml:space="preserve">Perpetual Value of Growth </t>
  </si>
  <si>
    <t>Present Value of Terminal Value</t>
  </si>
  <si>
    <t>Book Value of Debt</t>
  </si>
  <si>
    <t>Enterprise Value</t>
  </si>
  <si>
    <t>Value of Non-Operating Assets</t>
  </si>
  <si>
    <t>Equity Value</t>
  </si>
  <si>
    <t>Value Per Share</t>
  </si>
  <si>
    <t>Equity Weightage</t>
  </si>
  <si>
    <t>Debt Weightage</t>
  </si>
  <si>
    <t>Number of Shares</t>
  </si>
  <si>
    <t xml:space="preserve">WEIGHTED AVERAGE COST </t>
  </si>
  <si>
    <t>Yield (Rs.)</t>
  </si>
  <si>
    <t>Passenger Ticket Revenue</t>
  </si>
  <si>
    <t>USD/INR E</t>
  </si>
  <si>
    <t>Brent ($) E</t>
  </si>
  <si>
    <t>USD/INR * Brent ($)</t>
  </si>
  <si>
    <t>Change (%)</t>
  </si>
  <si>
    <t>ATF Forecast Price</t>
  </si>
  <si>
    <t>Terminal Growth Rate %</t>
  </si>
  <si>
    <t>Growth in 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</si>
</sst>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(* #,##0.00_);_(* \(#,##0.00\);_(* &quot;-&quot;??_);_(@_)"/>
    <numFmt numFmtId="164" formatCode="_ * #,##0.00_ ;_ * \-#,##0.00_ ;_ * &quot;-&quot;??_ ;_ @_ "/>
    <numFmt numFmtId="165" formatCode="[$-409]mmm/yy;@"/>
    <numFmt numFmtId="166" formatCode="0\-\A"/>
    <numFmt numFmtId="167" formatCode="0\-\E"/>
    <numFmt numFmtId="168" formatCode="_ * #,##0_ ;_ * \-#,##0_ ;_ * &quot;-&quot;??_ ;_ @_ "/>
    <numFmt numFmtId="169" formatCode="0.0%"/>
    <numFmt numFmtId="170" formatCode="0.0"/>
    <numFmt numFmtId="171" formatCode="0.000%"/>
  </numFmts>
  <fonts count="2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22"/>
      <color theme="3" tint="0.7999816888943144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68686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68686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002060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1"/>
      <color rgb="FF0B028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B028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B02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theme="3" tint="0.39997558519241921"/>
      </top>
      <bottom/>
      <diagonal/>
    </border>
    <border>
      <left/>
      <right/>
      <top/>
      <bottom style="thin">
        <color theme="3" tint="0.39997558519241921"/>
      </bottom>
      <diagonal/>
    </border>
    <border>
      <left/>
      <right/>
      <top style="thin">
        <color rgb="FF0B0280"/>
      </top>
      <bottom/>
      <diagonal/>
    </border>
    <border>
      <left/>
      <right/>
      <top/>
      <bottom style="thin">
        <color rgb="FF0B0280"/>
      </bottom>
      <diagonal/>
    </border>
    <border>
      <left/>
      <right style="medium">
        <color rgb="FFDDDDDD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B0280"/>
      </top>
      <bottom/>
      <diagonal/>
    </border>
    <border>
      <left/>
      <right style="thin">
        <color indexed="64"/>
      </right>
      <top/>
      <bottom style="thin">
        <color rgb="FF0B0280"/>
      </bottom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5" fillId="5" borderId="0" applyNumberFormat="0" applyBorder="0" applyAlignment="0" applyProtection="0"/>
    <xf numFmtId="43" fontId="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323">
    <xf numFmtId="0" fontId="0" fillId="0" borderId="0" xfId="0"/>
    <xf numFmtId="0" fontId="2" fillId="0" borderId="0" xfId="0" applyFont="1"/>
    <xf numFmtId="0" fontId="0" fillId="0" borderId="1" xfId="0" applyBorder="1"/>
    <xf numFmtId="165" fontId="0" fillId="0" borderId="0" xfId="0" applyNumberFormat="1" applyBorder="1"/>
    <xf numFmtId="0" fontId="0" fillId="0" borderId="2" xfId="0" applyBorder="1"/>
    <xf numFmtId="0" fontId="0" fillId="0" borderId="0" xfId="0" applyBorder="1"/>
    <xf numFmtId="166" fontId="0" fillId="0" borderId="0" xfId="0" applyNumberFormat="1" applyBorder="1"/>
    <xf numFmtId="0" fontId="0" fillId="2" borderId="0" xfId="0" applyFill="1"/>
    <xf numFmtId="0" fontId="0" fillId="0" borderId="3" xfId="0" applyBorder="1"/>
    <xf numFmtId="0" fontId="0" fillId="0" borderId="4" xfId="0" applyBorder="1"/>
    <xf numFmtId="165" fontId="0" fillId="0" borderId="3" xfId="0" applyNumberFormat="1" applyBorder="1"/>
    <xf numFmtId="167" fontId="0" fillId="0" borderId="4" xfId="0" applyNumberFormat="1" applyBorder="1"/>
    <xf numFmtId="167" fontId="0" fillId="0" borderId="0" xfId="0" applyNumberFormat="1" applyBorder="1"/>
    <xf numFmtId="166" fontId="0" fillId="0" borderId="4" xfId="0" applyNumberFormat="1" applyBorder="1"/>
    <xf numFmtId="168" fontId="0" fillId="0" borderId="0" xfId="1" applyNumberFormat="1" applyFont="1"/>
    <xf numFmtId="0" fontId="1" fillId="0" borderId="0" xfId="0" applyFont="1"/>
    <xf numFmtId="0" fontId="6" fillId="0" borderId="0" xfId="0" applyFont="1"/>
    <xf numFmtId="1" fontId="0" fillId="0" borderId="0" xfId="0" applyNumberFormat="1"/>
    <xf numFmtId="3" fontId="0" fillId="0" borderId="0" xfId="0" applyNumberFormat="1"/>
    <xf numFmtId="3" fontId="0" fillId="0" borderId="0" xfId="0" applyNumberFormat="1" applyBorder="1"/>
    <xf numFmtId="1" fontId="2" fillId="0" borderId="0" xfId="0" applyNumberFormat="1" applyFont="1"/>
    <xf numFmtId="3" fontId="2" fillId="0" borderId="0" xfId="0" applyNumberFormat="1" applyFont="1"/>
    <xf numFmtId="2" fontId="0" fillId="0" borderId="0" xfId="0" applyNumberFormat="1"/>
    <xf numFmtId="3" fontId="0" fillId="0" borderId="3" xfId="0" applyNumberFormat="1" applyBorder="1"/>
    <xf numFmtId="0" fontId="0" fillId="0" borderId="0" xfId="0" applyFont="1"/>
    <xf numFmtId="4" fontId="0" fillId="0" borderId="0" xfId="0" applyNumberFormat="1"/>
    <xf numFmtId="0" fontId="2" fillId="0" borderId="0" xfId="0" applyFont="1" applyBorder="1"/>
    <xf numFmtId="0" fontId="2" fillId="0" borderId="0" xfId="0" applyFont="1" applyAlignment="1">
      <alignment wrapText="1"/>
    </xf>
    <xf numFmtId="0" fontId="2" fillId="0" borderId="1" xfId="0" applyFont="1" applyBorder="1"/>
    <xf numFmtId="0" fontId="0" fillId="0" borderId="0" xfId="0" applyAlignment="1"/>
    <xf numFmtId="1" fontId="0" fillId="0" borderId="0" xfId="0" applyNumberFormat="1" applyBorder="1"/>
    <xf numFmtId="9" fontId="0" fillId="0" borderId="0" xfId="2" applyFont="1"/>
    <xf numFmtId="0" fontId="0" fillId="0" borderId="0" xfId="0" applyFill="1" applyBorder="1"/>
    <xf numFmtId="9" fontId="0" fillId="0" borderId="0" xfId="0" applyNumberFormat="1"/>
    <xf numFmtId="169" fontId="0" fillId="0" borderId="0" xfId="2" applyNumberFormat="1" applyFont="1"/>
    <xf numFmtId="169" fontId="1" fillId="0" borderId="0" xfId="0" applyNumberFormat="1" applyFont="1"/>
    <xf numFmtId="2" fontId="1" fillId="0" borderId="0" xfId="0" applyNumberFormat="1" applyFont="1"/>
    <xf numFmtId="170" fontId="0" fillId="0" borderId="0" xfId="0" applyNumberFormat="1"/>
    <xf numFmtId="9" fontId="1" fillId="0" borderId="0" xfId="0" applyNumberFormat="1" applyFont="1"/>
    <xf numFmtId="170" fontId="1" fillId="0" borderId="0" xfId="0" applyNumberFormat="1" applyFont="1"/>
    <xf numFmtId="1" fontId="1" fillId="0" borderId="0" xfId="0" applyNumberFormat="1" applyFont="1"/>
    <xf numFmtId="0" fontId="9" fillId="0" borderId="5" xfId="0" applyFont="1" applyFill="1" applyBorder="1" applyAlignment="1">
      <alignment wrapText="1"/>
    </xf>
    <xf numFmtId="0" fontId="9" fillId="0" borderId="5" xfId="0" applyFont="1" applyFill="1" applyBorder="1" applyAlignment="1">
      <alignment horizontal="center" wrapText="1"/>
    </xf>
    <xf numFmtId="0" fontId="9" fillId="0" borderId="0" xfId="0" applyFont="1" applyFill="1" applyAlignment="1">
      <alignment horizontal="center" wrapText="1"/>
    </xf>
    <xf numFmtId="1" fontId="0" fillId="0" borderId="3" xfId="0" applyNumberFormat="1" applyBorder="1"/>
    <xf numFmtId="0" fontId="0" fillId="0" borderId="0" xfId="0" applyFont="1" applyAlignment="1">
      <alignment horizontal="center"/>
    </xf>
    <xf numFmtId="0" fontId="10" fillId="0" borderId="5" xfId="0" applyFont="1" applyFill="1" applyBorder="1" applyAlignment="1">
      <alignment wrapText="1"/>
    </xf>
    <xf numFmtId="3" fontId="10" fillId="0" borderId="5" xfId="0" applyNumberFormat="1" applyFont="1" applyFill="1" applyBorder="1" applyAlignment="1">
      <alignment horizontal="center" wrapText="1"/>
    </xf>
    <xf numFmtId="3" fontId="10" fillId="0" borderId="0" xfId="0" applyNumberFormat="1" applyFont="1" applyFill="1" applyAlignment="1">
      <alignment horizontal="center" wrapText="1"/>
    </xf>
    <xf numFmtId="3" fontId="10" fillId="0" borderId="0" xfId="0" applyNumberFormat="1" applyFont="1" applyFill="1" applyBorder="1" applyAlignment="1">
      <alignment horizontal="center" wrapText="1"/>
    </xf>
    <xf numFmtId="170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 vertical="top"/>
    </xf>
    <xf numFmtId="3" fontId="0" fillId="0" borderId="0" xfId="0" applyNumberFormat="1" applyFont="1"/>
    <xf numFmtId="3" fontId="10" fillId="0" borderId="0" xfId="0" applyNumberFormat="1" applyFont="1" applyFill="1" applyBorder="1" applyAlignment="1">
      <alignment horizontal="right" wrapText="1"/>
    </xf>
    <xf numFmtId="0" fontId="11" fillId="0" borderId="5" xfId="0" applyFont="1" applyFill="1" applyBorder="1" applyAlignment="1">
      <alignment horizontal="center" wrapText="1"/>
    </xf>
    <xf numFmtId="0" fontId="11" fillId="0" borderId="0" xfId="0" applyFont="1" applyFill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wrapText="1"/>
    </xf>
    <xf numFmtId="0" fontId="11" fillId="0" borderId="5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0" fillId="0" borderId="0" xfId="0" applyAlignment="1">
      <alignment horizontal="left"/>
    </xf>
    <xf numFmtId="0" fontId="0" fillId="3" borderId="0" xfId="0" applyFill="1"/>
    <xf numFmtId="0" fontId="0" fillId="3" borderId="0" xfId="0" applyFill="1" applyAlignment="1">
      <alignment horizontal="left"/>
    </xf>
    <xf numFmtId="169" fontId="0" fillId="3" borderId="0" xfId="2" applyNumberFormat="1" applyFont="1" applyFill="1"/>
    <xf numFmtId="9" fontId="1" fillId="0" borderId="0" xfId="2" applyFont="1"/>
    <xf numFmtId="9" fontId="11" fillId="0" borderId="0" xfId="2" applyFont="1" applyFill="1" applyBorder="1" applyAlignment="1">
      <alignment horizontal="center" wrapText="1"/>
    </xf>
    <xf numFmtId="9" fontId="10" fillId="0" borderId="0" xfId="2" applyFont="1"/>
    <xf numFmtId="0" fontId="0" fillId="4" borderId="6" xfId="0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0" fillId="4" borderId="0" xfId="0" applyFill="1"/>
    <xf numFmtId="0" fontId="0" fillId="4" borderId="7" xfId="0" applyFill="1" applyBorder="1" applyAlignment="1">
      <alignment horizontal="left"/>
    </xf>
    <xf numFmtId="0" fontId="0" fillId="4" borderId="7" xfId="0" applyFill="1" applyBorder="1" applyAlignment="1">
      <alignment horizontal="center"/>
    </xf>
    <xf numFmtId="3" fontId="0" fillId="4" borderId="7" xfId="0" applyNumberFormat="1" applyFill="1" applyBorder="1" applyAlignment="1">
      <alignment horizontal="center"/>
    </xf>
    <xf numFmtId="0" fontId="0" fillId="4" borderId="8" xfId="0" applyFill="1" applyBorder="1" applyAlignment="1">
      <alignment horizontal="left"/>
    </xf>
    <xf numFmtId="0" fontId="0" fillId="4" borderId="8" xfId="0" applyFill="1" applyBorder="1" applyAlignment="1">
      <alignment horizontal="center"/>
    </xf>
    <xf numFmtId="3" fontId="0" fillId="4" borderId="8" xfId="0" applyNumberFormat="1" applyFill="1" applyBorder="1" applyAlignment="1">
      <alignment horizontal="center"/>
    </xf>
    <xf numFmtId="10" fontId="0" fillId="4" borderId="8" xfId="2" applyNumberFormat="1" applyFont="1" applyFill="1" applyBorder="1"/>
    <xf numFmtId="10" fontId="0" fillId="4" borderId="8" xfId="0" applyNumberFormat="1" applyFill="1" applyBorder="1" applyAlignment="1">
      <alignment horizontal="center"/>
    </xf>
    <xf numFmtId="0" fontId="0" fillId="4" borderId="8" xfId="0" applyFill="1" applyBorder="1" applyAlignment="1">
      <alignment horizontal="left" wrapText="1"/>
    </xf>
    <xf numFmtId="1" fontId="0" fillId="4" borderId="8" xfId="0" applyNumberFormat="1" applyFill="1" applyBorder="1" applyAlignment="1">
      <alignment horizontal="center"/>
    </xf>
    <xf numFmtId="0" fontId="2" fillId="4" borderId="9" xfId="0" applyFont="1" applyFill="1" applyBorder="1" applyAlignment="1">
      <alignment horizontal="left" wrapText="1"/>
    </xf>
    <xf numFmtId="3" fontId="0" fillId="4" borderId="9" xfId="0" applyNumberFormat="1" applyFill="1" applyBorder="1" applyAlignment="1">
      <alignment horizontal="center"/>
    </xf>
    <xf numFmtId="0" fontId="0" fillId="4" borderId="7" xfId="0" applyFill="1" applyBorder="1" applyAlignment="1">
      <alignment horizontal="center" vertical="center"/>
    </xf>
    <xf numFmtId="3" fontId="0" fillId="4" borderId="7" xfId="0" applyNumberFormat="1" applyFill="1" applyBorder="1" applyAlignment="1">
      <alignment horizontal="center" vertical="center"/>
    </xf>
    <xf numFmtId="9" fontId="0" fillId="4" borderId="9" xfId="0" applyNumberFormat="1" applyFill="1" applyBorder="1"/>
    <xf numFmtId="0" fontId="0" fillId="4" borderId="8" xfId="0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9" fontId="0" fillId="4" borderId="8" xfId="2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2" fontId="0" fillId="4" borderId="8" xfId="0" applyNumberFormat="1" applyFill="1" applyBorder="1" applyAlignment="1">
      <alignment horizontal="center"/>
    </xf>
    <xf numFmtId="10" fontId="0" fillId="4" borderId="0" xfId="2" applyNumberFormat="1" applyFont="1" applyFill="1" applyBorder="1"/>
    <xf numFmtId="9" fontId="0" fillId="4" borderId="7" xfId="2" applyFont="1" applyFill="1" applyBorder="1" applyAlignment="1">
      <alignment horizontal="center"/>
    </xf>
    <xf numFmtId="0" fontId="0" fillId="3" borderId="8" xfId="0" applyFill="1" applyBorder="1" applyAlignment="1">
      <alignment horizontal="left"/>
    </xf>
    <xf numFmtId="0" fontId="0" fillId="0" borderId="0" xfId="0" applyAlignment="1">
      <alignment horizontal="center"/>
    </xf>
    <xf numFmtId="168" fontId="0" fillId="0" borderId="0" xfId="1" applyNumberFormat="1" applyFont="1" applyAlignment="1">
      <alignment horizontal="center"/>
    </xf>
    <xf numFmtId="168" fontId="0" fillId="0" borderId="8" xfId="1" applyNumberFormat="1" applyFont="1" applyBorder="1"/>
    <xf numFmtId="9" fontId="0" fillId="0" borderId="8" xfId="2" applyFont="1" applyBorder="1"/>
    <xf numFmtId="10" fontId="0" fillId="4" borderId="8" xfId="2" applyNumberFormat="1" applyFont="1" applyFill="1" applyBorder="1" applyAlignment="1">
      <alignment horizontal="center"/>
    </xf>
    <xf numFmtId="1" fontId="1" fillId="4" borderId="7" xfId="0" applyNumberFormat="1" applyFont="1" applyFill="1" applyBorder="1" applyAlignment="1">
      <alignment horizontal="center"/>
    </xf>
    <xf numFmtId="9" fontId="1" fillId="4" borderId="7" xfId="0" applyNumberFormat="1" applyFont="1" applyFill="1" applyBorder="1" applyAlignment="1">
      <alignment horizontal="center"/>
    </xf>
    <xf numFmtId="3" fontId="1" fillId="4" borderId="8" xfId="0" applyNumberFormat="1" applyFont="1" applyFill="1" applyBorder="1" applyAlignment="1">
      <alignment horizontal="center"/>
    </xf>
    <xf numFmtId="1" fontId="1" fillId="4" borderId="7" xfId="0" applyNumberFormat="1" applyFont="1" applyFill="1" applyBorder="1" applyAlignment="1">
      <alignment horizontal="center" vertical="center"/>
    </xf>
    <xf numFmtId="1" fontId="1" fillId="4" borderId="8" xfId="0" applyNumberFormat="1" applyFont="1" applyFill="1" applyBorder="1" applyAlignment="1">
      <alignment horizontal="center" vertical="center"/>
    </xf>
    <xf numFmtId="9" fontId="1" fillId="4" borderId="8" xfId="2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10" fontId="1" fillId="4" borderId="8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2" fontId="1" fillId="4" borderId="8" xfId="0" applyNumberFormat="1" applyFont="1" applyFill="1" applyBorder="1" applyAlignment="1">
      <alignment horizontal="center"/>
    </xf>
    <xf numFmtId="9" fontId="1" fillId="4" borderId="8" xfId="0" applyNumberFormat="1" applyFont="1" applyFill="1" applyBorder="1" applyAlignment="1">
      <alignment horizontal="center"/>
    </xf>
    <xf numFmtId="0" fontId="0" fillId="4" borderId="10" xfId="0" applyFill="1" applyBorder="1" applyAlignment="1">
      <alignment horizontal="left"/>
    </xf>
    <xf numFmtId="1" fontId="0" fillId="4" borderId="8" xfId="0" applyNumberFormat="1" applyFill="1" applyBorder="1"/>
    <xf numFmtId="164" fontId="0" fillId="0" borderId="8" xfId="1" applyNumberFormat="1" applyFont="1" applyBorder="1"/>
    <xf numFmtId="10" fontId="12" fillId="4" borderId="8" xfId="2" applyNumberFormat="1" applyFont="1" applyFill="1" applyBorder="1" applyAlignment="1">
      <alignment horizontal="center"/>
    </xf>
    <xf numFmtId="1" fontId="1" fillId="4" borderId="13" xfId="0" applyNumberFormat="1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3" fontId="0" fillId="4" borderId="15" xfId="0" applyNumberForma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1" fontId="1" fillId="4" borderId="16" xfId="0" applyNumberFormat="1" applyFont="1" applyFill="1" applyBorder="1" applyAlignment="1">
      <alignment horizontal="center"/>
    </xf>
    <xf numFmtId="1" fontId="1" fillId="4" borderId="13" xfId="0" applyNumberFormat="1" applyFont="1" applyFill="1" applyBorder="1" applyAlignment="1">
      <alignment horizontal="center" vertical="center"/>
    </xf>
    <xf numFmtId="1" fontId="1" fillId="4" borderId="16" xfId="0" applyNumberFormat="1" applyFont="1" applyFill="1" applyBorder="1" applyAlignment="1">
      <alignment horizontal="center" vertical="center"/>
    </xf>
    <xf numFmtId="9" fontId="1" fillId="4" borderId="16" xfId="2" applyFont="1" applyFill="1" applyBorder="1" applyAlignment="1">
      <alignment horizontal="center"/>
    </xf>
    <xf numFmtId="1" fontId="0" fillId="4" borderId="11" xfId="0" applyNumberFormat="1" applyFill="1" applyBorder="1" applyAlignment="1">
      <alignment horizontal="center"/>
    </xf>
    <xf numFmtId="164" fontId="0" fillId="0" borderId="11" xfId="1" applyNumberFormat="1" applyFont="1" applyBorder="1"/>
    <xf numFmtId="1" fontId="0" fillId="4" borderId="11" xfId="0" applyNumberFormat="1" applyFill="1" applyBorder="1"/>
    <xf numFmtId="10" fontId="0" fillId="4" borderId="11" xfId="2" applyNumberFormat="1" applyFont="1" applyFill="1" applyBorder="1" applyAlignment="1">
      <alignment horizontal="center"/>
    </xf>
    <xf numFmtId="3" fontId="0" fillId="4" borderId="18" xfId="0" applyNumberFormat="1" applyFill="1" applyBorder="1" applyAlignment="1">
      <alignment horizontal="center"/>
    </xf>
    <xf numFmtId="0" fontId="0" fillId="4" borderId="15" xfId="0" applyFill="1" applyBorder="1" applyAlignment="1">
      <alignment horizontal="center" vertical="center"/>
    </xf>
    <xf numFmtId="1" fontId="0" fillId="4" borderId="11" xfId="0" applyNumberFormat="1" applyFill="1" applyBorder="1" applyAlignment="1">
      <alignment horizontal="center" vertical="center"/>
    </xf>
    <xf numFmtId="9" fontId="0" fillId="4" borderId="11" xfId="2" applyFont="1" applyFill="1" applyBorder="1" applyAlignment="1">
      <alignment horizontal="center"/>
    </xf>
    <xf numFmtId="171" fontId="0" fillId="4" borderId="11" xfId="2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9" fontId="1" fillId="4" borderId="13" xfId="0" applyNumberFormat="1" applyFont="1" applyFill="1" applyBorder="1" applyAlignment="1">
      <alignment horizontal="center"/>
    </xf>
    <xf numFmtId="3" fontId="1" fillId="4" borderId="16" xfId="0" applyNumberFormat="1" applyFont="1" applyFill="1" applyBorder="1" applyAlignment="1">
      <alignment horizontal="center"/>
    </xf>
    <xf numFmtId="10" fontId="1" fillId="4" borderId="16" xfId="0" applyNumberFormat="1" applyFont="1" applyFill="1" applyBorder="1" applyAlignment="1">
      <alignment horizontal="center"/>
    </xf>
    <xf numFmtId="2" fontId="1" fillId="4" borderId="16" xfId="0" applyNumberFormat="1" applyFont="1" applyFill="1" applyBorder="1" applyAlignment="1">
      <alignment horizontal="center"/>
    </xf>
    <xf numFmtId="3" fontId="0" fillId="4" borderId="11" xfId="0" applyNumberFormat="1" applyFill="1" applyBorder="1" applyAlignment="1">
      <alignment horizontal="center"/>
    </xf>
    <xf numFmtId="10" fontId="0" fillId="4" borderId="11" xfId="0" applyNumberFormat="1" applyFill="1" applyBorder="1" applyAlignment="1">
      <alignment horizontal="center"/>
    </xf>
    <xf numFmtId="2" fontId="0" fillId="4" borderId="11" xfId="0" applyNumberFormat="1" applyFill="1" applyBorder="1" applyAlignment="1">
      <alignment horizontal="center"/>
    </xf>
    <xf numFmtId="168" fontId="0" fillId="0" borderId="11" xfId="1" applyNumberFormat="1" applyFont="1" applyBorder="1"/>
    <xf numFmtId="9" fontId="0" fillId="0" borderId="11" xfId="2" applyFont="1" applyBorder="1"/>
    <xf numFmtId="0" fontId="13" fillId="4" borderId="12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3" fontId="1" fillId="4" borderId="18" xfId="0" applyNumberFormat="1" applyFont="1" applyFill="1" applyBorder="1" applyAlignment="1">
      <alignment horizontal="center"/>
    </xf>
    <xf numFmtId="0" fontId="1" fillId="4" borderId="0" xfId="0" applyFont="1" applyFill="1"/>
    <xf numFmtId="0" fontId="12" fillId="4" borderId="0" xfId="0" applyFont="1" applyFill="1"/>
    <xf numFmtId="10" fontId="14" fillId="4" borderId="16" xfId="2" applyNumberFormat="1" applyFont="1" applyFill="1" applyBorder="1" applyAlignment="1">
      <alignment horizontal="center"/>
    </xf>
    <xf numFmtId="10" fontId="14" fillId="4" borderId="8" xfId="2" applyNumberFormat="1" applyFont="1" applyFill="1" applyBorder="1" applyAlignment="1">
      <alignment horizontal="center"/>
    </xf>
    <xf numFmtId="10" fontId="12" fillId="4" borderId="11" xfId="2" applyNumberFormat="1" applyFont="1" applyFill="1" applyBorder="1" applyAlignment="1">
      <alignment horizontal="center"/>
    </xf>
    <xf numFmtId="10" fontId="0" fillId="0" borderId="0" xfId="0" applyNumberFormat="1"/>
    <xf numFmtId="10" fontId="0" fillId="4" borderId="19" xfId="2" applyNumberFormat="1" applyFont="1" applyFill="1" applyBorder="1" applyAlignment="1">
      <alignment horizontal="center"/>
    </xf>
    <xf numFmtId="3" fontId="0" fillId="4" borderId="8" xfId="0" applyNumberFormat="1" applyFill="1" applyBorder="1"/>
    <xf numFmtId="9" fontId="0" fillId="4" borderId="8" xfId="2" applyFont="1" applyFill="1" applyBorder="1"/>
    <xf numFmtId="0" fontId="2" fillId="4" borderId="7" xfId="0" applyFont="1" applyFill="1" applyBorder="1" applyAlignment="1">
      <alignment horizontal="left"/>
    </xf>
    <xf numFmtId="1" fontId="0" fillId="4" borderId="0" xfId="0" applyNumberFormat="1" applyFill="1" applyAlignment="1">
      <alignment horizontal="center"/>
    </xf>
    <xf numFmtId="1" fontId="2" fillId="4" borderId="8" xfId="0" applyNumberFormat="1" applyFont="1" applyFill="1" applyBorder="1" applyAlignment="1">
      <alignment horizontal="center"/>
    </xf>
    <xf numFmtId="171" fontId="1" fillId="4" borderId="0" xfId="0" applyNumberFormat="1" applyFont="1" applyFill="1"/>
    <xf numFmtId="2" fontId="0" fillId="0" borderId="0" xfId="2" applyNumberFormat="1" applyFont="1"/>
    <xf numFmtId="0" fontId="0" fillId="0" borderId="8" xfId="0" applyBorder="1"/>
    <xf numFmtId="0" fontId="0" fillId="0" borderId="20" xfId="0" applyBorder="1"/>
    <xf numFmtId="3" fontId="0" fillId="0" borderId="20" xfId="0" applyNumberFormat="1" applyBorder="1"/>
    <xf numFmtId="1" fontId="1" fillId="0" borderId="20" xfId="0" applyNumberFormat="1" applyFont="1" applyBorder="1"/>
    <xf numFmtId="0" fontId="2" fillId="0" borderId="20" xfId="0" applyFont="1" applyBorder="1"/>
    <xf numFmtId="0" fontId="0" fillId="4" borderId="9" xfId="0" applyFill="1" applyBorder="1" applyAlignment="1">
      <alignment horizontal="left"/>
    </xf>
    <xf numFmtId="9" fontId="0" fillId="4" borderId="9" xfId="2" applyFont="1" applyFill="1" applyBorder="1" applyAlignment="1">
      <alignment horizontal="center"/>
    </xf>
    <xf numFmtId="9" fontId="0" fillId="4" borderId="0" xfId="2" applyFont="1" applyFill="1" applyAlignment="1">
      <alignment horizontal="center"/>
    </xf>
    <xf numFmtId="0" fontId="0" fillId="0" borderId="8" xfId="0" applyBorder="1" applyAlignment="1"/>
    <xf numFmtId="0" fontId="0" fillId="0" borderId="8" xfId="0" applyBorder="1" applyAlignment="1">
      <alignment wrapText="1"/>
    </xf>
    <xf numFmtId="4" fontId="0" fillId="4" borderId="8" xfId="0" applyNumberFormat="1" applyFill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3" fontId="15" fillId="5" borderId="0" xfId="3" applyNumberFormat="1"/>
    <xf numFmtId="10" fontId="16" fillId="0" borderId="0" xfId="2" applyNumberFormat="1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6" borderId="0" xfId="0" applyFont="1" applyFill="1" applyAlignment="1">
      <alignment horizontal="center"/>
    </xf>
    <xf numFmtId="0" fontId="0" fillId="0" borderId="0" xfId="0"/>
    <xf numFmtId="0" fontId="17" fillId="0" borderId="0" xfId="0" applyFont="1" applyAlignment="1">
      <alignment vertical="center"/>
    </xf>
    <xf numFmtId="1" fontId="0" fillId="4" borderId="10" xfId="0" applyNumberFormat="1" applyFill="1" applyBorder="1" applyAlignment="1">
      <alignment horizontal="center"/>
    </xf>
    <xf numFmtId="1" fontId="0" fillId="4" borderId="0" xfId="0" applyNumberFormat="1" applyFill="1" applyBorder="1" applyAlignment="1">
      <alignment horizontal="center"/>
    </xf>
    <xf numFmtId="1" fontId="2" fillId="4" borderId="0" xfId="0" applyNumberFormat="1" applyFont="1" applyFill="1" applyBorder="1" applyAlignment="1">
      <alignment horizontal="center"/>
    </xf>
    <xf numFmtId="165" fontId="0" fillId="0" borderId="21" xfId="0" applyNumberFormat="1" applyBorder="1"/>
    <xf numFmtId="0" fontId="2" fillId="8" borderId="8" xfId="0" applyFont="1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10" fontId="0" fillId="9" borderId="8" xfId="0" applyNumberFormat="1" applyFill="1" applyBorder="1" applyAlignment="1">
      <alignment horizontal="center"/>
    </xf>
    <xf numFmtId="1" fontId="0" fillId="9" borderId="8" xfId="0" applyNumberFormat="1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1" fontId="0" fillId="9" borderId="6" xfId="0" applyNumberFormat="1" applyFill="1" applyBorder="1" applyAlignment="1">
      <alignment horizontal="center"/>
    </xf>
    <xf numFmtId="10" fontId="0" fillId="9" borderId="6" xfId="0" applyNumberFormat="1" applyFill="1" applyBorder="1" applyAlignment="1">
      <alignment horizontal="center"/>
    </xf>
    <xf numFmtId="1" fontId="0" fillId="9" borderId="9" xfId="0" applyNumberFormat="1" applyFill="1" applyBorder="1" applyAlignment="1">
      <alignment horizontal="center"/>
    </xf>
    <xf numFmtId="0" fontId="0" fillId="0" borderId="22" xfId="0" applyBorder="1"/>
    <xf numFmtId="166" fontId="0" fillId="0" borderId="22" xfId="0" applyNumberFormat="1" applyBorder="1"/>
    <xf numFmtId="167" fontId="0" fillId="0" borderId="22" xfId="0" applyNumberFormat="1" applyBorder="1"/>
    <xf numFmtId="10" fontId="0" fillId="7" borderId="8" xfId="2" applyNumberFormat="1" applyFont="1" applyFill="1" applyBorder="1" applyAlignment="1">
      <alignment horizontal="right"/>
    </xf>
    <xf numFmtId="2" fontId="0" fillId="7" borderId="8" xfId="2" applyNumberFormat="1" applyFont="1" applyFill="1" applyBorder="1" applyAlignment="1">
      <alignment horizontal="right"/>
    </xf>
    <xf numFmtId="2" fontId="0" fillId="7" borderId="8" xfId="0" applyNumberFormat="1" applyFill="1" applyBorder="1" applyAlignment="1">
      <alignment horizontal="right"/>
    </xf>
    <xf numFmtId="168" fontId="0" fillId="7" borderId="8" xfId="1" applyNumberFormat="1" applyFont="1" applyFill="1" applyBorder="1" applyAlignment="1">
      <alignment horizontal="right"/>
    </xf>
    <xf numFmtId="3" fontId="0" fillId="7" borderId="8" xfId="0" applyNumberFormat="1" applyFill="1" applyBorder="1" applyAlignment="1">
      <alignment horizontal="right"/>
    </xf>
    <xf numFmtId="164" fontId="0" fillId="7" borderId="8" xfId="1" applyFont="1" applyFill="1" applyBorder="1" applyAlignment="1">
      <alignment horizontal="right"/>
    </xf>
    <xf numFmtId="0" fontId="0" fillId="7" borderId="8" xfId="2" applyNumberFormat="1" applyFont="1" applyFill="1" applyBorder="1" applyAlignment="1">
      <alignment horizontal="right"/>
    </xf>
    <xf numFmtId="168" fontId="0" fillId="7" borderId="8" xfId="1" applyNumberFormat="1" applyFont="1" applyFill="1" applyBorder="1" applyAlignment="1"/>
    <xf numFmtId="2" fontId="0" fillId="7" borderId="8" xfId="0" applyNumberFormat="1" applyFill="1" applyBorder="1" applyAlignment="1"/>
    <xf numFmtId="0" fontId="0" fillId="0" borderId="0" xfId="0"/>
    <xf numFmtId="0" fontId="19" fillId="0" borderId="0" xfId="7" applyFont="1"/>
    <xf numFmtId="0" fontId="19" fillId="0" borderId="0" xfId="7" applyFont="1" applyAlignment="1">
      <alignment horizontal="left" indent="1"/>
    </xf>
    <xf numFmtId="169" fontId="19" fillId="0" borderId="0" xfId="8" applyNumberFormat="1" applyFont="1" applyBorder="1" applyAlignment="1">
      <alignment horizontal="left" indent="1"/>
    </xf>
    <xf numFmtId="3" fontId="0" fillId="0" borderId="0" xfId="0" applyNumberFormat="1"/>
    <xf numFmtId="3" fontId="1" fillId="0" borderId="0" xfId="0" applyNumberFormat="1" applyFont="1"/>
    <xf numFmtId="0" fontId="0" fillId="2" borderId="23" xfId="0" applyFill="1" applyBorder="1"/>
    <xf numFmtId="0" fontId="0" fillId="0" borderId="23" xfId="0" applyBorder="1"/>
    <xf numFmtId="165" fontId="0" fillId="0" borderId="24" xfId="0" applyNumberFormat="1" applyBorder="1"/>
    <xf numFmtId="166" fontId="0" fillId="0" borderId="25" xfId="0" applyNumberFormat="1" applyBorder="1"/>
    <xf numFmtId="3" fontId="0" fillId="0" borderId="23" xfId="0" applyNumberFormat="1" applyBorder="1"/>
    <xf numFmtId="1" fontId="0" fillId="0" borderId="23" xfId="0" applyNumberFormat="1" applyBorder="1"/>
    <xf numFmtId="0" fontId="1" fillId="0" borderId="23" xfId="0" applyFont="1" applyBorder="1"/>
    <xf numFmtId="170" fontId="0" fillId="0" borderId="23" xfId="0" applyNumberFormat="1" applyBorder="1"/>
    <xf numFmtId="10" fontId="0" fillId="0" borderId="23" xfId="2" applyNumberFormat="1" applyFont="1" applyBorder="1"/>
    <xf numFmtId="169" fontId="0" fillId="0" borderId="23" xfId="2" applyNumberFormat="1" applyFont="1" applyBorder="1"/>
    <xf numFmtId="9" fontId="0" fillId="0" borderId="23" xfId="2" applyFont="1" applyBorder="1"/>
    <xf numFmtId="3" fontId="0" fillId="0" borderId="12" xfId="0" applyNumberFormat="1" applyBorder="1"/>
    <xf numFmtId="10" fontId="16" fillId="0" borderId="23" xfId="2" applyNumberFormat="1" applyFont="1" applyBorder="1" applyAlignment="1">
      <alignment horizontal="center"/>
    </xf>
    <xf numFmtId="3" fontId="15" fillId="5" borderId="23" xfId="3" applyNumberFormat="1" applyBorder="1"/>
    <xf numFmtId="2" fontId="0" fillId="4" borderId="8" xfId="2" applyNumberFormat="1" applyFont="1" applyFill="1" applyBorder="1" applyAlignment="1">
      <alignment horizontal="center" vertical="center"/>
    </xf>
    <xf numFmtId="168" fontId="0" fillId="0" borderId="0" xfId="0" applyNumberFormat="1"/>
    <xf numFmtId="0" fontId="20" fillId="0" borderId="0" xfId="0" applyFont="1"/>
    <xf numFmtId="9" fontId="20" fillId="0" borderId="0" xfId="2" applyFont="1"/>
    <xf numFmtId="10" fontId="0" fillId="0" borderId="0" xfId="2" applyNumberFormat="1" applyFont="1"/>
    <xf numFmtId="1" fontId="0" fillId="0" borderId="0" xfId="0" applyNumberFormat="1" applyAlignment="1">
      <alignment horizontal="center"/>
    </xf>
    <xf numFmtId="1" fontId="10" fillId="0" borderId="0" xfId="0" applyNumberFormat="1" applyFont="1"/>
    <xf numFmtId="3" fontId="10" fillId="0" borderId="0" xfId="0" applyNumberFormat="1" applyFont="1"/>
    <xf numFmtId="0" fontId="10" fillId="0" borderId="0" xfId="0" applyFont="1"/>
    <xf numFmtId="10" fontId="10" fillId="0" borderId="0" xfId="0" applyNumberFormat="1" applyFont="1"/>
    <xf numFmtId="165" fontId="21" fillId="0" borderId="3" xfId="0" applyNumberFormat="1" applyFont="1" applyBorder="1"/>
    <xf numFmtId="1" fontId="21" fillId="0" borderId="0" xfId="0" applyNumberFormat="1" applyFont="1"/>
    <xf numFmtId="3" fontId="21" fillId="0" borderId="0" xfId="0" applyNumberFormat="1" applyFont="1"/>
    <xf numFmtId="0" fontId="21" fillId="0" borderId="0" xfId="0" applyFont="1"/>
    <xf numFmtId="3" fontId="21" fillId="0" borderId="0" xfId="0" applyNumberFormat="1" applyFont="1" applyBorder="1"/>
    <xf numFmtId="2" fontId="21" fillId="0" borderId="0" xfId="0" applyNumberFormat="1" applyFont="1"/>
    <xf numFmtId="1" fontId="10" fillId="0" borderId="0" xfId="0" applyNumberFormat="1" applyFont="1" applyBorder="1"/>
    <xf numFmtId="3" fontId="22" fillId="0" borderId="0" xfId="0" applyNumberFormat="1" applyFont="1"/>
    <xf numFmtId="1" fontId="22" fillId="0" borderId="0" xfId="0" applyNumberFormat="1" applyFont="1"/>
    <xf numFmtId="3" fontId="21" fillId="0" borderId="3" xfId="0" applyNumberFormat="1" applyFont="1" applyBorder="1"/>
    <xf numFmtId="4" fontId="21" fillId="0" borderId="0" xfId="0" applyNumberFormat="1" applyFont="1"/>
    <xf numFmtId="1" fontId="21" fillId="0" borderId="0" xfId="0" applyNumberFormat="1" applyFont="1" applyBorder="1"/>
    <xf numFmtId="168" fontId="21" fillId="0" borderId="0" xfId="1" applyNumberFormat="1" applyFont="1"/>
    <xf numFmtId="168" fontId="21" fillId="0" borderId="0" xfId="0" applyNumberFormat="1" applyFont="1"/>
    <xf numFmtId="169" fontId="10" fillId="0" borderId="0" xfId="2" applyNumberFormat="1" applyFont="1"/>
    <xf numFmtId="1" fontId="0" fillId="0" borderId="26" xfId="0" applyNumberFormat="1" applyBorder="1"/>
    <xf numFmtId="9" fontId="1" fillId="0" borderId="26" xfId="0" applyNumberFormat="1" applyFont="1" applyBorder="1"/>
    <xf numFmtId="9" fontId="1" fillId="4" borderId="16" xfId="0" applyNumberFormat="1" applyFont="1" applyFill="1" applyBorder="1" applyAlignment="1">
      <alignment horizontal="center"/>
    </xf>
    <xf numFmtId="168" fontId="1" fillId="4" borderId="16" xfId="1" applyNumberFormat="1" applyFont="1" applyFill="1" applyBorder="1" applyAlignment="1">
      <alignment horizontal="center"/>
    </xf>
    <xf numFmtId="0" fontId="19" fillId="0" borderId="21" xfId="7" applyFont="1" applyBorder="1"/>
    <xf numFmtId="0" fontId="0" fillId="0" borderId="21" xfId="0" applyBorder="1"/>
    <xf numFmtId="169" fontId="19" fillId="0" borderId="22" xfId="8" applyNumberFormat="1" applyFont="1" applyBorder="1" applyAlignment="1">
      <alignment horizontal="left" indent="1"/>
    </xf>
    <xf numFmtId="1" fontId="0" fillId="0" borderId="21" xfId="0" applyNumberFormat="1" applyBorder="1"/>
    <xf numFmtId="10" fontId="1" fillId="0" borderId="0" xfId="0" applyNumberFormat="1" applyFont="1"/>
    <xf numFmtId="168" fontId="23" fillId="9" borderId="16" xfId="0" applyNumberFormat="1" applyFont="1" applyFill="1" applyBorder="1" applyAlignment="1">
      <alignment horizontal="left"/>
    </xf>
    <xf numFmtId="1" fontId="0" fillId="0" borderId="0" xfId="0" applyNumberFormat="1"/>
    <xf numFmtId="1" fontId="0" fillId="0" borderId="0" xfId="0" applyNumberFormat="1" applyBorder="1"/>
    <xf numFmtId="169" fontId="19" fillId="0" borderId="0" xfId="8" applyNumberFormat="1" applyFont="1" applyBorder="1" applyAlignment="1">
      <alignment horizontal="left" indent="1"/>
    </xf>
    <xf numFmtId="1" fontId="0" fillId="0" borderId="22" xfId="0" applyNumberFormat="1" applyBorder="1"/>
    <xf numFmtId="1" fontId="0" fillId="0" borderId="0" xfId="0" applyNumberFormat="1"/>
    <xf numFmtId="0" fontId="0" fillId="0" borderId="22" xfId="0" applyBorder="1"/>
    <xf numFmtId="1" fontId="0" fillId="0" borderId="22" xfId="0" applyNumberFormat="1" applyBorder="1"/>
    <xf numFmtId="169" fontId="19" fillId="0" borderId="22" xfId="8" applyNumberFormat="1" applyFont="1" applyFill="1" applyBorder="1" applyAlignment="1">
      <alignment horizontal="left"/>
    </xf>
    <xf numFmtId="0" fontId="0" fillId="0" borderId="0" xfId="0"/>
    <xf numFmtId="0" fontId="17" fillId="0" borderId="0" xfId="0" applyFont="1" applyAlignment="1">
      <alignment vertical="center"/>
    </xf>
    <xf numFmtId="10" fontId="0" fillId="7" borderId="8" xfId="2" applyNumberFormat="1" applyFont="1" applyFill="1" applyBorder="1" applyAlignment="1">
      <alignment horizontal="right"/>
    </xf>
    <xf numFmtId="168" fontId="0" fillId="7" borderId="8" xfId="1" applyNumberFormat="1" applyFont="1" applyFill="1" applyBorder="1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10" fontId="0" fillId="7" borderId="8" xfId="2" applyNumberFormat="1" applyFont="1" applyFill="1" applyBorder="1" applyAlignment="1">
      <alignment horizontal="right"/>
    </xf>
    <xf numFmtId="0" fontId="0" fillId="0" borderId="0" xfId="0" applyFill="1" applyBorder="1"/>
    <xf numFmtId="168" fontId="0" fillId="7" borderId="8" xfId="1" applyNumberFormat="1" applyFont="1" applyFill="1" applyBorder="1" applyAlignment="1">
      <alignment horizontal="right"/>
    </xf>
    <xf numFmtId="1" fontId="0" fillId="0" borderId="0" xfId="0" applyNumberFormat="1"/>
    <xf numFmtId="10" fontId="16" fillId="0" borderId="0" xfId="2" applyNumberFormat="1" applyFont="1" applyAlignment="1">
      <alignment horizontal="center"/>
    </xf>
    <xf numFmtId="0" fontId="17" fillId="0" borderId="0" xfId="0" applyFont="1" applyAlignment="1">
      <alignment vertical="center"/>
    </xf>
    <xf numFmtId="10" fontId="0" fillId="0" borderId="0" xfId="2" applyNumberFormat="1" applyFont="1"/>
    <xf numFmtId="169" fontId="2" fillId="11" borderId="16" xfId="0" applyNumberFormat="1" applyFont="1" applyFill="1" applyBorder="1" applyAlignment="1">
      <alignment horizontal="center"/>
    </xf>
    <xf numFmtId="169" fontId="2" fillId="11" borderId="16" xfId="2" applyNumberFormat="1" applyFont="1" applyFill="1" applyBorder="1" applyAlignment="1">
      <alignment horizontal="center"/>
    </xf>
    <xf numFmtId="10" fontId="2" fillId="11" borderId="8" xfId="0" applyNumberFormat="1" applyFont="1" applyFill="1" applyBorder="1" applyAlignment="1">
      <alignment horizontal="center"/>
    </xf>
    <xf numFmtId="0" fontId="0" fillId="4" borderId="8" xfId="0" applyFill="1" applyBorder="1" applyAlignment="1">
      <alignment horizontal="left"/>
    </xf>
    <xf numFmtId="0" fontId="0" fillId="4" borderId="8" xfId="0" applyFill="1" applyBorder="1" applyAlignment="1">
      <alignment horizontal="center"/>
    </xf>
    <xf numFmtId="1" fontId="0" fillId="4" borderId="8" xfId="0" applyNumberFormat="1" applyFill="1" applyBorder="1" applyAlignment="1">
      <alignment horizontal="center"/>
    </xf>
    <xf numFmtId="9" fontId="0" fillId="4" borderId="8" xfId="2" applyFont="1" applyFill="1" applyBorder="1" applyAlignment="1">
      <alignment horizontal="center"/>
    </xf>
    <xf numFmtId="2" fontId="0" fillId="4" borderId="8" xfId="0" applyNumberForma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0" fillId="0" borderId="8" xfId="0" applyBorder="1" applyAlignment="1">
      <alignment horizontal="center"/>
    </xf>
    <xf numFmtId="1" fontId="0" fillId="9" borderId="8" xfId="0" applyNumberFormat="1" applyFill="1" applyBorder="1" applyAlignment="1">
      <alignment horizontal="center"/>
    </xf>
    <xf numFmtId="10" fontId="0" fillId="0" borderId="8" xfId="2" applyNumberFormat="1" applyFon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0" fontId="22" fillId="4" borderId="8" xfId="0" applyFont="1" applyFill="1" applyBorder="1" applyAlignment="1">
      <alignment horizontal="center"/>
    </xf>
    <xf numFmtId="0" fontId="2" fillId="4" borderId="8" xfId="0" applyFont="1" applyFill="1" applyBorder="1"/>
    <xf numFmtId="1" fontId="0" fillId="4" borderId="0" xfId="0" applyNumberFormat="1" applyFill="1"/>
    <xf numFmtId="0" fontId="22" fillId="4" borderId="12" xfId="0" applyFont="1" applyFill="1" applyBorder="1" applyAlignment="1">
      <alignment horizontal="center"/>
    </xf>
    <xf numFmtId="0" fontId="22" fillId="4" borderId="6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left"/>
    </xf>
    <xf numFmtId="10" fontId="10" fillId="4" borderId="16" xfId="0" applyNumberFormat="1" applyFont="1" applyFill="1" applyBorder="1" applyAlignment="1">
      <alignment horizontal="center"/>
    </xf>
    <xf numFmtId="10" fontId="10" fillId="4" borderId="8" xfId="0" applyNumberFormat="1" applyFont="1" applyFill="1" applyBorder="1" applyAlignment="1">
      <alignment horizontal="center"/>
    </xf>
    <xf numFmtId="2" fontId="10" fillId="4" borderId="16" xfId="0" applyNumberFormat="1" applyFont="1" applyFill="1" applyBorder="1" applyAlignment="1">
      <alignment horizontal="center"/>
    </xf>
    <xf numFmtId="2" fontId="10" fillId="4" borderId="8" xfId="0" applyNumberFormat="1" applyFont="1" applyFill="1" applyBorder="1" applyAlignment="1">
      <alignment horizontal="center"/>
    </xf>
    <xf numFmtId="0" fontId="10" fillId="4" borderId="7" xfId="0" applyFont="1" applyFill="1" applyBorder="1" applyAlignment="1">
      <alignment horizontal="left"/>
    </xf>
    <xf numFmtId="0" fontId="22" fillId="4" borderId="6" xfId="0" applyFont="1" applyFill="1" applyBorder="1" applyAlignment="1">
      <alignment horizontal="left"/>
    </xf>
    <xf numFmtId="1" fontId="10" fillId="4" borderId="16" xfId="0" applyNumberFormat="1" applyFont="1" applyFill="1" applyBorder="1" applyAlignment="1">
      <alignment horizontal="center"/>
    </xf>
    <xf numFmtId="1" fontId="10" fillId="4" borderId="8" xfId="0" applyNumberFormat="1" applyFont="1" applyFill="1" applyBorder="1" applyAlignment="1">
      <alignment horizontal="center"/>
    </xf>
    <xf numFmtId="10" fontId="24" fillId="4" borderId="16" xfId="2" applyNumberFormat="1" applyFont="1" applyFill="1" applyBorder="1" applyAlignment="1">
      <alignment horizontal="center"/>
    </xf>
    <xf numFmtId="10" fontId="24" fillId="4" borderId="8" xfId="2" applyNumberFormat="1" applyFont="1" applyFill="1" applyBorder="1" applyAlignment="1">
      <alignment horizontal="center"/>
    </xf>
    <xf numFmtId="1" fontId="0" fillId="4" borderId="17" xfId="0" applyNumberFormat="1" applyFill="1" applyBorder="1" applyAlignment="1">
      <alignment horizontal="center" vertical="center"/>
    </xf>
    <xf numFmtId="1" fontId="0" fillId="4" borderId="15" xfId="0" applyNumberForma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0" fillId="10" borderId="8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/>
    </xf>
  </cellXfs>
  <cellStyles count="11">
    <cellStyle name="Bad" xfId="3" builtinId="27"/>
    <cellStyle name="Comma" xfId="1" builtinId="3"/>
    <cellStyle name="Comma 2" xfId="4"/>
    <cellStyle name="Comma 2 2" xfId="9"/>
    <cellStyle name="Comma 3" xfId="10"/>
    <cellStyle name="Normal" xfId="0" builtinId="0"/>
    <cellStyle name="Normal 2" xfId="7"/>
    <cellStyle name="Normal 23" xfId="6"/>
    <cellStyle name="Normal 4" xfId="5"/>
    <cellStyle name="Percent" xfId="2" builtinId="5"/>
    <cellStyle name="Percent 2" xfId="8"/>
  </cellStyles>
  <dxfs count="0"/>
  <tableStyles count="0" defaultTableStyle="TableStyleMedium9" defaultPivotStyle="PivotStyleLight16"/>
  <colors>
    <mruColors>
      <color rgb="FF0B0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US"/>
            </a:pPr>
            <a:r>
              <a:rPr lang="en-US"/>
              <a:t>Capacity</a:t>
            </a:r>
            <a:r>
              <a:rPr lang="en-US" baseline="0"/>
              <a:t> Growth Vs Efficiency 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RASK</c:v>
          </c:tx>
          <c:marker>
            <c:symbol val="none"/>
          </c:marker>
          <c:cat>
            <c:numRef>
              <c:f>'Assumptions Sheet'!$D$1:$J$1</c:f>
              <c:numCache>
                <c:formatCode>General</c:formatCode>
                <c:ptCount val="7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</c:numCache>
            </c:numRef>
          </c:cat>
          <c:val>
            <c:numRef>
              <c:f>'Assumptions Sheet'!$D$6:$J$6</c:f>
              <c:numCache>
                <c:formatCode>General</c:formatCode>
                <c:ptCount val="7"/>
                <c:pt idx="0">
                  <c:v>3.1</c:v>
                </c:pt>
                <c:pt idx="1">
                  <c:v>3.1</c:v>
                </c:pt>
                <c:pt idx="2">
                  <c:v>3.7</c:v>
                </c:pt>
                <c:pt idx="3">
                  <c:v>3.72</c:v>
                </c:pt>
                <c:pt idx="4">
                  <c:v>3.95</c:v>
                </c:pt>
                <c:pt idx="5">
                  <c:v>3.78</c:v>
                </c:pt>
                <c:pt idx="6">
                  <c:v>3.44</c:v>
                </c:pt>
              </c:numCache>
            </c:numRef>
          </c:val>
          <c:smooth val="0"/>
        </c:ser>
        <c:ser>
          <c:idx val="2"/>
          <c:order val="1"/>
          <c:tx>
            <c:v>Yield</c:v>
          </c:tx>
          <c:marker>
            <c:symbol val="none"/>
          </c:marker>
          <c:cat>
            <c:numRef>
              <c:f>'Assumptions Sheet'!$D$1:$J$1</c:f>
              <c:numCache>
                <c:formatCode>General</c:formatCode>
                <c:ptCount val="7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</c:numCache>
            </c:numRef>
          </c:cat>
          <c:val>
            <c:numRef>
              <c:f>'Assumptions Sheet'!$D$7:$J$7</c:f>
              <c:numCache>
                <c:formatCode>0.00</c:formatCode>
                <c:ptCount val="7"/>
                <c:pt idx="0">
                  <c:v>3.188815121309009</c:v>
                </c:pt>
                <c:pt idx="1">
                  <c:v>3.3638904627006609</c:v>
                </c:pt>
                <c:pt idx="2">
                  <c:v>4.0802847976308003</c:v>
                </c:pt>
                <c:pt idx="3">
                  <c:v>4.2894117392807747</c:v>
                </c:pt>
                <c:pt idx="4">
                  <c:v>4.3630975618412178</c:v>
                </c:pt>
                <c:pt idx="5">
                  <c:v>3.9097036254448398</c:v>
                </c:pt>
                <c:pt idx="6">
                  <c:v>3.4991946076736951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909952"/>
        <c:axId val="138918912"/>
      </c:lineChart>
      <c:lineChart>
        <c:grouping val="standard"/>
        <c:varyColors val="0"/>
        <c:ser>
          <c:idx val="3"/>
          <c:order val="2"/>
          <c:tx>
            <c:strRef>
              <c:f>'Assumptions Sheet'!$B$5</c:f>
              <c:strCache>
                <c:ptCount val="1"/>
                <c:pt idx="0">
                  <c:v>Passenger Load Factor (%)</c:v>
                </c:pt>
              </c:strCache>
            </c:strRef>
          </c:tx>
          <c:marker>
            <c:symbol val="none"/>
          </c:marker>
          <c:val>
            <c:numRef>
              <c:f>'Assumptions Sheet'!$D$5:$J$5</c:f>
              <c:numCache>
                <c:formatCode>0.00%</c:formatCode>
                <c:ptCount val="7"/>
                <c:pt idx="0">
                  <c:v>0.85099999999999998</c:v>
                </c:pt>
                <c:pt idx="1">
                  <c:v>0.82299999999999995</c:v>
                </c:pt>
                <c:pt idx="2">
                  <c:v>0.81100000000000005</c:v>
                </c:pt>
                <c:pt idx="3">
                  <c:v>0.77200000000000002</c:v>
                </c:pt>
                <c:pt idx="4">
                  <c:v>0.79800000000000004</c:v>
                </c:pt>
                <c:pt idx="5">
                  <c:v>0.84</c:v>
                </c:pt>
                <c:pt idx="6">
                  <c:v>0.84799999999999998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505664"/>
        <c:axId val="138944896"/>
      </c:lineChart>
      <c:catAx>
        <c:axId val="13890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38918912"/>
        <c:crosses val="autoZero"/>
        <c:auto val="1"/>
        <c:lblAlgn val="ctr"/>
        <c:lblOffset val="100"/>
        <c:noMultiLvlLbl val="0"/>
      </c:catAx>
      <c:valAx>
        <c:axId val="138918912"/>
        <c:scaling>
          <c:orientation val="minMax"/>
        </c:scaling>
        <c:delete val="0"/>
        <c:axPos val="l"/>
        <c:majorGridlines/>
        <c:title>
          <c:overlay val="0"/>
          <c:txPr>
            <a:bodyPr/>
            <a:lstStyle/>
            <a:p>
              <a:pPr>
                <a:defRPr lang="en-US"/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38909952"/>
        <c:crosses val="autoZero"/>
        <c:crossBetween val="between"/>
      </c:valAx>
      <c:valAx>
        <c:axId val="138944896"/>
        <c:scaling>
          <c:orientation val="minMax"/>
        </c:scaling>
        <c:delete val="0"/>
        <c:axPos val="r"/>
        <c:numFmt formatCode="0.00%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39505664"/>
        <c:crosses val="max"/>
        <c:crossBetween val="between"/>
      </c:valAx>
      <c:catAx>
        <c:axId val="13950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389448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lang="en-US"/>
            </a:pPr>
            <a:endParaRPr lang="en-US"/>
          </a:p>
        </c:txPr>
      </c:dTable>
    </c:plotArea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'ATF Fuel 2'!$M$1</c:f>
              <c:strCache>
                <c:ptCount val="1"/>
                <c:pt idx="0">
                  <c:v>ATF Price (Rs)</c:v>
                </c:pt>
              </c:strCache>
            </c:strRef>
          </c:tx>
          <c:marker>
            <c:symbol val="none"/>
          </c:marker>
          <c:cat>
            <c:strRef>
              <c:f>'ATF Fuel 2'!$L$2:$L$94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 2'!$M$2:$M$97</c:f>
              <c:numCache>
                <c:formatCode>General</c:formatCode>
                <c:ptCount val="96"/>
                <c:pt idx="0">
                  <c:v>100</c:v>
                </c:pt>
                <c:pt idx="1">
                  <c:v>103.72976841957673</c:v>
                </c:pt>
                <c:pt idx="2">
                  <c:v>96.820299400593555</c:v>
                </c:pt>
                <c:pt idx="3">
                  <c:v>101.4762474991858</c:v>
                </c:pt>
                <c:pt idx="4">
                  <c:v>100.75593186277764</c:v>
                </c:pt>
                <c:pt idx="5">
                  <c:v>98.274636157987487</c:v>
                </c:pt>
                <c:pt idx="6">
                  <c:v>99.624598211490635</c:v>
                </c:pt>
                <c:pt idx="7">
                  <c:v>103.19012623528991</c:v>
                </c:pt>
                <c:pt idx="8">
                  <c:v>107.9580005794399</c:v>
                </c:pt>
                <c:pt idx="9">
                  <c:v>114.00997513570368</c:v>
                </c:pt>
                <c:pt idx="10">
                  <c:v>121.43840413157238</c:v>
                </c:pt>
                <c:pt idx="11">
                  <c:v>130.79110683115269</c:v>
                </c:pt>
                <c:pt idx="12">
                  <c:v>140.79251513731876</c:v>
                </c:pt>
                <c:pt idx="13">
                  <c:v>144.19556103474369</c:v>
                </c:pt>
                <c:pt idx="14">
                  <c:v>134.68337428354036</c:v>
                </c:pt>
                <c:pt idx="15">
                  <c:v>134.12007435901631</c:v>
                </c:pt>
                <c:pt idx="16">
                  <c:v>137.82690637964939</c:v>
                </c:pt>
                <c:pt idx="17">
                  <c:v>134.10636323895983</c:v>
                </c:pt>
                <c:pt idx="18">
                  <c:v>139.50458843506178</c:v>
                </c:pt>
                <c:pt idx="19">
                  <c:v>145.37374805723897</c:v>
                </c:pt>
                <c:pt idx="20">
                  <c:v>153.67421105127525</c:v>
                </c:pt>
                <c:pt idx="21">
                  <c:v>150.12928633817327</c:v>
                </c:pt>
                <c:pt idx="22">
                  <c:v>149.69497688918281</c:v>
                </c:pt>
                <c:pt idx="23">
                  <c:v>153.69055957543631</c:v>
                </c:pt>
                <c:pt idx="24">
                  <c:v>161.20648501602233</c:v>
                </c:pt>
                <c:pt idx="25">
                  <c:v>160.11125224228638</c:v>
                </c:pt>
                <c:pt idx="26">
                  <c:v>156.25040258452054</c:v>
                </c:pt>
                <c:pt idx="27">
                  <c:v>145.73799159761353</c:v>
                </c:pt>
                <c:pt idx="28">
                  <c:v>154.5502800523038</c:v>
                </c:pt>
                <c:pt idx="29">
                  <c:v>169.6579901143555</c:v>
                </c:pt>
                <c:pt idx="30">
                  <c:v>165.47245797778373</c:v>
                </c:pt>
                <c:pt idx="31">
                  <c:v>161.07535305852349</c:v>
                </c:pt>
                <c:pt idx="32">
                  <c:v>159.50836307879939</c:v>
                </c:pt>
                <c:pt idx="33">
                  <c:v>158.86088037112538</c:v>
                </c:pt>
                <c:pt idx="34">
                  <c:v>162.01488318694871</c:v>
                </c:pt>
                <c:pt idx="35">
                  <c:v>167.94301245987441</c:v>
                </c:pt>
                <c:pt idx="36">
                  <c:v>159.30710885789614</c:v>
                </c:pt>
                <c:pt idx="37">
                  <c:v>151.01978216507297</c:v>
                </c:pt>
                <c:pt idx="38">
                  <c:v>150.4564033438449</c:v>
                </c:pt>
                <c:pt idx="39">
                  <c:v>158.93571953033211</c:v>
                </c:pt>
                <c:pt idx="40">
                  <c:v>168.67584449482152</c:v>
                </c:pt>
                <c:pt idx="41">
                  <c:v>180.36291469446002</c:v>
                </c:pt>
                <c:pt idx="42">
                  <c:v>185.0094740852783</c:v>
                </c:pt>
                <c:pt idx="43">
                  <c:v>176.79157649196031</c:v>
                </c:pt>
                <c:pt idx="44">
                  <c:v>178.15311945451239</c:v>
                </c:pt>
                <c:pt idx="45">
                  <c:v>182.83642216747134</c:v>
                </c:pt>
                <c:pt idx="46">
                  <c:v>177.80680800785734</c:v>
                </c:pt>
                <c:pt idx="47">
                  <c:v>179.68806046598274</c:v>
                </c:pt>
                <c:pt idx="48">
                  <c:v>172.69555830153618</c:v>
                </c:pt>
                <c:pt idx="49">
                  <c:v>170.86056748933913</c:v>
                </c:pt>
                <c:pt idx="50">
                  <c:v>167.71585757814921</c:v>
                </c:pt>
                <c:pt idx="51">
                  <c:v>168.60016001378631</c:v>
                </c:pt>
                <c:pt idx="52">
                  <c:v>168.36661449903855</c:v>
                </c:pt>
                <c:pt idx="53">
                  <c:v>167.37032946305516</c:v>
                </c:pt>
                <c:pt idx="54">
                  <c:v>162.46217677922314</c:v>
                </c:pt>
                <c:pt idx="55">
                  <c:v>150.80495771108457</c:v>
                </c:pt>
                <c:pt idx="56">
                  <c:v>144.5951164856294</c:v>
                </c:pt>
                <c:pt idx="57">
                  <c:v>126.94874154403414</c:v>
                </c:pt>
                <c:pt idx="58">
                  <c:v>113.17813337273634</c:v>
                </c:pt>
                <c:pt idx="59">
                  <c:v>122.22902800218698</c:v>
                </c:pt>
                <c:pt idx="60">
                  <c:v>120.10445247349877</c:v>
                </c:pt>
                <c:pt idx="61">
                  <c:v>120.80028195427785</c:v>
                </c:pt>
                <c:pt idx="62">
                  <c:v>129.46560275588413</c:v>
                </c:pt>
                <c:pt idx="63">
                  <c:v>124.63652711135865</c:v>
                </c:pt>
                <c:pt idx="64">
                  <c:v>113.17039022478831</c:v>
                </c:pt>
                <c:pt idx="65">
                  <c:v>100.05918379894484</c:v>
                </c:pt>
                <c:pt idx="66">
                  <c:v>105.30788283456224</c:v>
                </c:pt>
                <c:pt idx="67">
                  <c:v>104.80550243647087</c:v>
                </c:pt>
                <c:pt idx="68">
                  <c:v>104.6082832184285</c:v>
                </c:pt>
                <c:pt idx="69">
                  <c:v>94.500736303489688</c:v>
                </c:pt>
                <c:pt idx="70">
                  <c:v>83.679630691291038</c:v>
                </c:pt>
                <c:pt idx="71">
                  <c:v>93.412040685226671</c:v>
                </c:pt>
                <c:pt idx="72">
                  <c:v>99.094913918342016</c:v>
                </c:pt>
                <c:pt idx="73">
                  <c:v>100.00054100596995</c:v>
                </c:pt>
                <c:pt idx="74">
                  <c:v>108.94912915226989</c:v>
                </c:pt>
                <c:pt idx="75">
                  <c:v>114.87066491493415</c:v>
                </c:pt>
                <c:pt idx="76">
                  <c:v>110.19037718316312</c:v>
                </c:pt>
                <c:pt idx="77">
                  <c:v>106.06189863452887</c:v>
                </c:pt>
                <c:pt idx="78">
                  <c:v>109.19823985961774</c:v>
                </c:pt>
                <c:pt idx="79">
                  <c:v>116.99525171458016</c:v>
                </c:pt>
                <c:pt idx="80">
                  <c:v>112.70512509044222</c:v>
                </c:pt>
                <c:pt idx="81">
                  <c:v>122.20855430750346</c:v>
                </c:pt>
                <c:pt idx="82">
                  <c:v>125.82309409091287</c:v>
                </c:pt>
                <c:pt idx="83">
                  <c:v>126.47119106578221</c:v>
                </c:pt>
                <c:pt idx="84">
                  <c:v>120.01879319488869</c:v>
                </c:pt>
                <c:pt idx="85">
                  <c:v>120.45328861468141</c:v>
                </c:pt>
                <c:pt idx="86">
                  <c:v>115.96068487072849</c:v>
                </c:pt>
                <c:pt idx="87">
                  <c:v>109.65796531824863</c:v>
                </c:pt>
                <c:pt idx="88">
                  <c:v>113.2941641253943</c:v>
                </c:pt>
                <c:pt idx="89">
                  <c:v>116.40588770034748</c:v>
                </c:pt>
                <c:pt idx="90">
                  <c:v>123.11830656565394</c:v>
                </c:pt>
                <c:pt idx="91">
                  <c:v>125.6627252691095</c:v>
                </c:pt>
                <c:pt idx="92">
                  <c:v>132.964615222747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'ATF Fuel 2'!$N$1</c:f>
              <c:strCache>
                <c:ptCount val="1"/>
                <c:pt idx="0">
                  <c:v>Brent ($)</c:v>
                </c:pt>
              </c:strCache>
            </c:strRef>
          </c:tx>
          <c:marker>
            <c:symbol val="none"/>
          </c:marker>
          <c:cat>
            <c:strRef>
              <c:f>'ATF Fuel 2'!$L$2:$L$94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 2'!$N$2:$N$97</c:f>
              <c:numCache>
                <c:formatCode>General</c:formatCode>
                <c:ptCount val="96"/>
                <c:pt idx="0">
                  <c:v>100</c:v>
                </c:pt>
                <c:pt idx="1">
                  <c:v>106.60776957521483</c:v>
                </c:pt>
                <c:pt idx="2">
                  <c:v>88.442454314413666</c:v>
                </c:pt>
                <c:pt idx="3">
                  <c:v>86.808665133728695</c:v>
                </c:pt>
                <c:pt idx="4">
                  <c:v>99.152850054459691</c:v>
                </c:pt>
                <c:pt idx="5">
                  <c:v>91.407479123804961</c:v>
                </c:pt>
                <c:pt idx="6">
                  <c:v>100.07261285247495</c:v>
                </c:pt>
                <c:pt idx="7">
                  <c:v>101.73060631731825</c:v>
                </c:pt>
                <c:pt idx="8">
                  <c:v>107.17657025293485</c:v>
                </c:pt>
                <c:pt idx="9">
                  <c:v>115.96272540239629</c:v>
                </c:pt>
                <c:pt idx="10">
                  <c:v>121.50550647464608</c:v>
                </c:pt>
                <c:pt idx="11">
                  <c:v>137.16567832506365</c:v>
                </c:pt>
                <c:pt idx="12">
                  <c:v>143.56771148493297</c:v>
                </c:pt>
                <c:pt idx="13">
                  <c:v>147.10153697204416</c:v>
                </c:pt>
                <c:pt idx="14">
                  <c:v>139.28355318891454</c:v>
                </c:pt>
                <c:pt idx="15">
                  <c:v>137.41982330872574</c:v>
                </c:pt>
                <c:pt idx="16">
                  <c:v>137.64976400822954</c:v>
                </c:pt>
                <c:pt idx="17">
                  <c:v>142.20016942998919</c:v>
                </c:pt>
                <c:pt idx="18">
                  <c:v>126.32215902214701</c:v>
                </c:pt>
                <c:pt idx="19">
                  <c:v>135.81023841219908</c:v>
                </c:pt>
                <c:pt idx="20">
                  <c:v>133.31719714389459</c:v>
                </c:pt>
                <c:pt idx="21">
                  <c:v>134.41849207309707</c:v>
                </c:pt>
                <c:pt idx="22">
                  <c:v>141.42563233692377</c:v>
                </c:pt>
                <c:pt idx="23">
                  <c:v>151.72455524627875</c:v>
                </c:pt>
                <c:pt idx="24">
                  <c:v>147.51300980273521</c:v>
                </c:pt>
                <c:pt idx="25">
                  <c:v>135.41086772358719</c:v>
                </c:pt>
                <c:pt idx="26">
                  <c:v>119.32712090039946</c:v>
                </c:pt>
                <c:pt idx="27">
                  <c:v>120.08955585138578</c:v>
                </c:pt>
                <c:pt idx="28">
                  <c:v>137.38351688248829</c:v>
                </c:pt>
                <c:pt idx="29">
                  <c:v>139.00520392109411</c:v>
                </c:pt>
                <c:pt idx="30">
                  <c:v>138.35168824882012</c:v>
                </c:pt>
                <c:pt idx="31">
                  <c:v>131.44136512162663</c:v>
                </c:pt>
                <c:pt idx="32">
                  <c:v>130.21904877163269</c:v>
                </c:pt>
                <c:pt idx="33">
                  <c:v>136.71789906813515</c:v>
                </c:pt>
                <c:pt idx="34">
                  <c:v>143.15623865424192</c:v>
                </c:pt>
                <c:pt idx="35">
                  <c:v>131.47767154786411</c:v>
                </c:pt>
                <c:pt idx="36">
                  <c:v>125.9590947597726</c:v>
                </c:pt>
                <c:pt idx="37">
                  <c:v>125.36608979789435</c:v>
                </c:pt>
                <c:pt idx="38">
                  <c:v>122.83674210335242</c:v>
                </c:pt>
                <c:pt idx="39">
                  <c:v>131.22352656420199</c:v>
                </c:pt>
                <c:pt idx="40">
                  <c:v>131.29613941667685</c:v>
                </c:pt>
                <c:pt idx="41">
                  <c:v>135.99177054338631</c:v>
                </c:pt>
                <c:pt idx="42">
                  <c:v>131.9375529468717</c:v>
                </c:pt>
                <c:pt idx="43">
                  <c:v>127.99225462906946</c:v>
                </c:pt>
                <c:pt idx="44">
                  <c:v>131.80442938400108</c:v>
                </c:pt>
                <c:pt idx="45">
                  <c:v>128.81520029045154</c:v>
                </c:pt>
                <c:pt idx="46">
                  <c:v>133.3414014280529</c:v>
                </c:pt>
                <c:pt idx="47">
                  <c:v>131.02989229093561</c:v>
                </c:pt>
                <c:pt idx="48">
                  <c:v>128.07696962362348</c:v>
                </c:pt>
                <c:pt idx="49">
                  <c:v>130.93307515430243</c:v>
                </c:pt>
                <c:pt idx="50">
                  <c:v>132.16749364637553</c:v>
                </c:pt>
                <c:pt idx="51">
                  <c:v>130.27955948202845</c:v>
                </c:pt>
                <c:pt idx="52">
                  <c:v>125.88648190729771</c:v>
                </c:pt>
                <c:pt idx="53">
                  <c:v>120.45262011376026</c:v>
                </c:pt>
                <c:pt idx="54">
                  <c:v>110.00847149945552</c:v>
                </c:pt>
                <c:pt idx="55">
                  <c:v>100.68982209851153</c:v>
                </c:pt>
                <c:pt idx="56">
                  <c:v>82.294566138206534</c:v>
                </c:pt>
                <c:pt idx="57">
                  <c:v>59.82088829722867</c:v>
                </c:pt>
                <c:pt idx="58">
                  <c:v>68.982209851143722</c:v>
                </c:pt>
                <c:pt idx="59">
                  <c:v>71.584170398160552</c:v>
                </c:pt>
                <c:pt idx="60">
                  <c:v>69.647827665496862</c:v>
                </c:pt>
                <c:pt idx="61">
                  <c:v>78.579208519908093</c:v>
                </c:pt>
                <c:pt idx="62">
                  <c:v>73.048529589737456</c:v>
                </c:pt>
                <c:pt idx="63">
                  <c:v>66.222921457097968</c:v>
                </c:pt>
                <c:pt idx="64">
                  <c:v>57.533583444269695</c:v>
                </c:pt>
                <c:pt idx="65">
                  <c:v>56.178143531405112</c:v>
                </c:pt>
                <c:pt idx="66">
                  <c:v>62.519665980878663</c:v>
                </c:pt>
                <c:pt idx="67">
                  <c:v>55.778772842793217</c:v>
                </c:pt>
                <c:pt idx="68">
                  <c:v>48.03340191213848</c:v>
                </c:pt>
                <c:pt idx="69">
                  <c:v>40.626890959699892</c:v>
                </c:pt>
                <c:pt idx="70">
                  <c:v>39.646617451288904</c:v>
                </c:pt>
                <c:pt idx="71">
                  <c:v>45.516156359675705</c:v>
                </c:pt>
                <c:pt idx="72">
                  <c:v>45.709790632942088</c:v>
                </c:pt>
                <c:pt idx="73">
                  <c:v>53.721408689338062</c:v>
                </c:pt>
                <c:pt idx="74">
                  <c:v>59.227883335350413</c:v>
                </c:pt>
                <c:pt idx="75">
                  <c:v>55.306789301706466</c:v>
                </c:pt>
                <c:pt idx="76">
                  <c:v>48.95316471015375</c:v>
                </c:pt>
                <c:pt idx="77">
                  <c:v>56.541207793779563</c:v>
                </c:pt>
                <c:pt idx="78">
                  <c:v>59.990318286336752</c:v>
                </c:pt>
                <c:pt idx="79">
                  <c:v>52.1118237928114</c:v>
                </c:pt>
                <c:pt idx="80">
                  <c:v>63.306305216023311</c:v>
                </c:pt>
                <c:pt idx="81">
                  <c:v>67.650974222437455</c:v>
                </c:pt>
                <c:pt idx="82">
                  <c:v>67.675178506595771</c:v>
                </c:pt>
                <c:pt idx="83">
                  <c:v>65.545201500665712</c:v>
                </c:pt>
                <c:pt idx="84">
                  <c:v>64.238170156117732</c:v>
                </c:pt>
                <c:pt idx="85">
                  <c:v>59.675662592278925</c:v>
                </c:pt>
                <c:pt idx="86">
                  <c:v>61.006898220985221</c:v>
                </c:pt>
                <c:pt idx="87">
                  <c:v>59.457824034854283</c:v>
                </c:pt>
                <c:pt idx="88">
                  <c:v>62.919036669490616</c:v>
                </c:pt>
                <c:pt idx="89">
                  <c:v>63.766186615030975</c:v>
                </c:pt>
                <c:pt idx="90">
                  <c:v>71.160595425390397</c:v>
                </c:pt>
                <c:pt idx="91">
                  <c:v>73.399491710032777</c:v>
                </c:pt>
                <c:pt idx="92">
                  <c:v>76.921215055064849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'ATF Fuel 2'!$O$1</c:f>
              <c:strCache>
                <c:ptCount val="1"/>
                <c:pt idx="0">
                  <c:v>US Oil ($)</c:v>
                </c:pt>
              </c:strCache>
            </c:strRef>
          </c:tx>
          <c:marker>
            <c:symbol val="none"/>
          </c:marker>
          <c:cat>
            <c:strRef>
              <c:f>'ATF Fuel 2'!$L$2:$L$94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 2'!$O$2:$O$97</c:f>
              <c:numCache>
                <c:formatCode>General</c:formatCode>
                <c:ptCount val="96"/>
                <c:pt idx="0">
                  <c:v>100</c:v>
                </c:pt>
                <c:pt idx="1">
                  <c:v>101.96379983437831</c:v>
                </c:pt>
                <c:pt idx="2">
                  <c:v>86.004968650183372</c:v>
                </c:pt>
                <c:pt idx="3">
                  <c:v>86.300721637288532</c:v>
                </c:pt>
                <c:pt idx="4">
                  <c:v>96.119720809180151</c:v>
                </c:pt>
                <c:pt idx="5">
                  <c:v>87.507393824677621</c:v>
                </c:pt>
                <c:pt idx="6">
                  <c:v>96.498284632674768</c:v>
                </c:pt>
                <c:pt idx="7">
                  <c:v>98.119011002011135</c:v>
                </c:pt>
                <c:pt idx="8">
                  <c:v>102.6262865254939</c:v>
                </c:pt>
                <c:pt idx="9">
                  <c:v>108.35206435584999</c:v>
                </c:pt>
                <c:pt idx="10">
                  <c:v>105.9268898615876</c:v>
                </c:pt>
                <c:pt idx="11">
                  <c:v>117.86348042115227</c:v>
                </c:pt>
                <c:pt idx="12">
                  <c:v>127.23293505264407</c:v>
                </c:pt>
                <c:pt idx="13">
                  <c:v>133.71584052998941</c:v>
                </c:pt>
                <c:pt idx="14">
                  <c:v>118.65609842659417</c:v>
                </c:pt>
                <c:pt idx="15">
                  <c:v>112.16136282976463</c:v>
                </c:pt>
                <c:pt idx="16">
                  <c:v>112.36247486099613</c:v>
                </c:pt>
                <c:pt idx="17">
                  <c:v>105.20525257305103</c:v>
                </c:pt>
                <c:pt idx="18">
                  <c:v>91.494144090855343</c:v>
                </c:pt>
                <c:pt idx="19">
                  <c:v>109.06187152490243</c:v>
                </c:pt>
                <c:pt idx="20">
                  <c:v>118.53779723175211</c:v>
                </c:pt>
                <c:pt idx="21">
                  <c:v>121.80291020939319</c:v>
                </c:pt>
                <c:pt idx="22">
                  <c:v>115.49745652431095</c:v>
                </c:pt>
                <c:pt idx="23">
                  <c:v>128.66437951023312</c:v>
                </c:pt>
                <c:pt idx="24">
                  <c:v>124.51200757127651</c:v>
                </c:pt>
                <c:pt idx="25">
                  <c:v>125.60037856382357</c:v>
                </c:pt>
                <c:pt idx="26">
                  <c:v>98.39110375014792</c:v>
                </c:pt>
                <c:pt idx="27">
                  <c:v>99.041760321779265</c:v>
                </c:pt>
                <c:pt idx="28">
                  <c:v>105.27623328995624</c:v>
                </c:pt>
                <c:pt idx="29">
                  <c:v>112.78835916242758</c:v>
                </c:pt>
                <c:pt idx="30">
                  <c:v>109.3576245120076</c:v>
                </c:pt>
                <c:pt idx="31">
                  <c:v>102.98119011002012</c:v>
                </c:pt>
                <c:pt idx="32">
                  <c:v>104.92132970543004</c:v>
                </c:pt>
                <c:pt idx="33">
                  <c:v>110.18573287590208</c:v>
                </c:pt>
                <c:pt idx="34">
                  <c:v>115.29634449307936</c:v>
                </c:pt>
                <c:pt idx="35">
                  <c:v>107.31101384123978</c:v>
                </c:pt>
                <c:pt idx="36">
                  <c:v>114.87046019164791</c:v>
                </c:pt>
                <c:pt idx="37">
                  <c:v>107.34650419969239</c:v>
                </c:pt>
                <c:pt idx="38">
                  <c:v>110.50514610197563</c:v>
                </c:pt>
                <c:pt idx="39">
                  <c:v>115.86419022832129</c:v>
                </c:pt>
                <c:pt idx="40">
                  <c:v>127.68247959304387</c:v>
                </c:pt>
                <c:pt idx="41">
                  <c:v>128.55790843487517</c:v>
                </c:pt>
                <c:pt idx="42">
                  <c:v>120.7736898142671</c:v>
                </c:pt>
                <c:pt idx="43">
                  <c:v>111.8656098426594</c:v>
                </c:pt>
                <c:pt idx="44">
                  <c:v>110.74174849165976</c:v>
                </c:pt>
                <c:pt idx="45">
                  <c:v>112.55175677274343</c:v>
                </c:pt>
                <c:pt idx="46">
                  <c:v>114.08967230569031</c:v>
                </c:pt>
                <c:pt idx="47">
                  <c:v>124.6184786466344</c:v>
                </c:pt>
                <c:pt idx="48">
                  <c:v>117.93446113805754</c:v>
                </c:pt>
                <c:pt idx="49">
                  <c:v>117.93446113805754</c:v>
                </c:pt>
                <c:pt idx="50">
                  <c:v>121.93304152371944</c:v>
                </c:pt>
                <c:pt idx="51">
                  <c:v>125.47024724949728</c:v>
                </c:pt>
                <c:pt idx="52">
                  <c:v>115.7695492724477</c:v>
                </c:pt>
                <c:pt idx="53">
                  <c:v>109.92547024724955</c:v>
                </c:pt>
                <c:pt idx="54">
                  <c:v>107.34650419969246</c:v>
                </c:pt>
                <c:pt idx="55">
                  <c:v>93.185851177096907</c:v>
                </c:pt>
                <c:pt idx="56">
                  <c:v>81.60416420205847</c:v>
                </c:pt>
                <c:pt idx="57">
                  <c:v>63.231988643085323</c:v>
                </c:pt>
                <c:pt idx="58">
                  <c:v>58.263338459718476</c:v>
                </c:pt>
                <c:pt idx="59">
                  <c:v>58.665562522181531</c:v>
                </c:pt>
                <c:pt idx="60">
                  <c:v>59.292558854844465</c:v>
                </c:pt>
                <c:pt idx="61">
                  <c:v>69.91600615166216</c:v>
                </c:pt>
                <c:pt idx="62">
                  <c:v>71.264639772861713</c:v>
                </c:pt>
                <c:pt idx="63">
                  <c:v>67.360700343073461</c:v>
                </c:pt>
                <c:pt idx="64">
                  <c:v>53.531290666035737</c:v>
                </c:pt>
                <c:pt idx="65">
                  <c:v>53.68508221933044</c:v>
                </c:pt>
                <c:pt idx="66">
                  <c:v>52.939784691825416</c:v>
                </c:pt>
                <c:pt idx="67">
                  <c:v>54.560511061161755</c:v>
                </c:pt>
                <c:pt idx="68">
                  <c:v>48.006624866911189</c:v>
                </c:pt>
                <c:pt idx="69">
                  <c:v>43.925233644859851</c:v>
                </c:pt>
                <c:pt idx="70">
                  <c:v>37.406837809061905</c:v>
                </c:pt>
                <c:pt idx="71">
                  <c:v>40.683780906187195</c:v>
                </c:pt>
                <c:pt idx="72">
                  <c:v>41.831302496155253</c:v>
                </c:pt>
                <c:pt idx="73">
                  <c:v>52.93978469182543</c:v>
                </c:pt>
                <c:pt idx="74">
                  <c:v>58.050396309002771</c:v>
                </c:pt>
                <c:pt idx="75">
                  <c:v>57.991245711581733</c:v>
                </c:pt>
                <c:pt idx="76">
                  <c:v>47.379628534248226</c:v>
                </c:pt>
                <c:pt idx="77">
                  <c:v>51.070625813320746</c:v>
                </c:pt>
                <c:pt idx="78">
                  <c:v>57.730983082929171</c:v>
                </c:pt>
                <c:pt idx="79">
                  <c:v>55.199337513308912</c:v>
                </c:pt>
                <c:pt idx="80">
                  <c:v>60.428250325328307</c:v>
                </c:pt>
                <c:pt idx="81">
                  <c:v>61.942505619306772</c:v>
                </c:pt>
                <c:pt idx="82">
                  <c:v>63.764344019874613</c:v>
                </c:pt>
                <c:pt idx="83">
                  <c:v>63.669703064000963</c:v>
                </c:pt>
                <c:pt idx="84">
                  <c:v>59.446350408139146</c:v>
                </c:pt>
                <c:pt idx="85">
                  <c:v>57.766473441381777</c:v>
                </c:pt>
                <c:pt idx="86">
                  <c:v>57.163137347687233</c:v>
                </c:pt>
                <c:pt idx="87">
                  <c:v>54.442209866319672</c:v>
                </c:pt>
                <c:pt idx="88">
                  <c:v>58.192357742813236</c:v>
                </c:pt>
                <c:pt idx="89">
                  <c:v>55.980125399266569</c:v>
                </c:pt>
                <c:pt idx="90">
                  <c:v>59.848574470602195</c:v>
                </c:pt>
                <c:pt idx="91">
                  <c:v>64.261209038211305</c:v>
                </c:pt>
                <c:pt idx="92">
                  <c:v>69.02874719034665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'ATF Fuel 2'!$P$1</c:f>
              <c:strCache>
                <c:ptCount val="1"/>
                <c:pt idx="0">
                  <c:v>MCX</c:v>
                </c:pt>
              </c:strCache>
            </c:strRef>
          </c:tx>
          <c:marker>
            <c:symbol val="none"/>
          </c:marker>
          <c:cat>
            <c:strRef>
              <c:f>'ATF Fuel 2'!$L$2:$L$94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 2'!$P$2:$P$97</c:f>
              <c:numCache>
                <c:formatCode>General</c:formatCode>
                <c:ptCount val="96"/>
                <c:pt idx="0">
                  <c:v>100</c:v>
                </c:pt>
                <c:pt idx="1">
                  <c:v>106.03614614585712</c:v>
                </c:pt>
                <c:pt idx="2">
                  <c:v>91.905264886040342</c:v>
                </c:pt>
                <c:pt idx="3">
                  <c:v>90.648726728116159</c:v>
                </c:pt>
                <c:pt idx="4">
                  <c:v>102.32060196638722</c:v>
                </c:pt>
                <c:pt idx="5">
                  <c:v>95.818563907259318</c:v>
                </c:pt>
                <c:pt idx="6">
                  <c:v>100.09497045141427</c:v>
                </c:pt>
                <c:pt idx="7">
                  <c:v>100.79875759993439</c:v>
                </c:pt>
                <c:pt idx="8">
                  <c:v>109.83443426054781</c:v>
                </c:pt>
                <c:pt idx="9">
                  <c:v>115.96272540239625</c:v>
                </c:pt>
                <c:pt idx="10">
                  <c:v>124.46442072972569</c:v>
                </c:pt>
                <c:pt idx="11">
                  <c:v>138.45275573562051</c:v>
                </c:pt>
                <c:pt idx="12">
                  <c:v>142.54131140282439</c:v>
                </c:pt>
                <c:pt idx="13">
                  <c:v>145.55690510482205</c:v>
                </c:pt>
                <c:pt idx="14">
                  <c:v>139.98370509837622</c:v>
                </c:pt>
                <c:pt idx="15">
                  <c:v>137.08210703160418</c:v>
                </c:pt>
                <c:pt idx="16">
                  <c:v>135.43555868906228</c:v>
                </c:pt>
                <c:pt idx="17">
                  <c:v>146.07604536172701</c:v>
                </c:pt>
                <c:pt idx="18">
                  <c:v>139.64299437926343</c:v>
                </c:pt>
                <c:pt idx="19">
                  <c:v>148.15938207479169</c:v>
                </c:pt>
                <c:pt idx="20">
                  <c:v>154.43468882732191</c:v>
                </c:pt>
                <c:pt idx="21">
                  <c:v>160.06491571707031</c:v>
                </c:pt>
                <c:pt idx="22">
                  <c:v>156.68670928480884</c:v>
                </c:pt>
                <c:pt idx="23">
                  <c:v>166.35126337603046</c:v>
                </c:pt>
                <c:pt idx="24">
                  <c:v>166.79252515899068</c:v>
                </c:pt>
                <c:pt idx="25">
                  <c:v>159.28020968826766</c:v>
                </c:pt>
                <c:pt idx="26">
                  <c:v>149.93202143517567</c:v>
                </c:pt>
                <c:pt idx="27">
                  <c:v>148.90461013744212</c:v>
                </c:pt>
                <c:pt idx="28">
                  <c:v>170.80859505161914</c:v>
                </c:pt>
                <c:pt idx="29">
                  <c:v>172.43663868898008</c:v>
                </c:pt>
                <c:pt idx="30">
                  <c:v>163.80580247422293</c:v>
                </c:pt>
                <c:pt idx="31">
                  <c:v>158.00274017804105</c:v>
                </c:pt>
                <c:pt idx="32">
                  <c:v>157.8716863626596</c:v>
                </c:pt>
                <c:pt idx="33">
                  <c:v>167.50691655264811</c:v>
                </c:pt>
                <c:pt idx="34">
                  <c:v>170.22991068748931</c:v>
                </c:pt>
                <c:pt idx="35">
                  <c:v>159.66194899428388</c:v>
                </c:pt>
                <c:pt idx="36">
                  <c:v>152.7633927398179</c:v>
                </c:pt>
                <c:pt idx="37">
                  <c:v>150.69978689847409</c:v>
                </c:pt>
                <c:pt idx="38">
                  <c:v>155.08275907641735</c:v>
                </c:pt>
                <c:pt idx="39">
                  <c:v>174.09984640337646</c:v>
                </c:pt>
                <c:pt idx="40">
                  <c:v>177.20285482934412</c:v>
                </c:pt>
                <c:pt idx="41">
                  <c:v>199.76449761455859</c:v>
                </c:pt>
                <c:pt idx="42">
                  <c:v>184.52392346903849</c:v>
                </c:pt>
                <c:pt idx="43">
                  <c:v>175.88926680594406</c:v>
                </c:pt>
                <c:pt idx="44">
                  <c:v>183.6015677411184</c:v>
                </c:pt>
                <c:pt idx="45">
                  <c:v>177.85476715705755</c:v>
                </c:pt>
                <c:pt idx="46">
                  <c:v>186.78520709425624</c:v>
                </c:pt>
                <c:pt idx="47">
                  <c:v>181.35169408899586</c:v>
                </c:pt>
                <c:pt idx="48">
                  <c:v>171.25573351148037</c:v>
                </c:pt>
                <c:pt idx="49">
                  <c:v>176.15705508918876</c:v>
                </c:pt>
                <c:pt idx="50">
                  <c:v>175.01267534451907</c:v>
                </c:pt>
                <c:pt idx="51">
                  <c:v>174.92854166376017</c:v>
                </c:pt>
                <c:pt idx="52">
                  <c:v>170.85799320527997</c:v>
                </c:pt>
                <c:pt idx="53">
                  <c:v>162.81017687405031</c:v>
                </c:pt>
                <c:pt idx="54">
                  <c:v>152.25703327505062</c:v>
                </c:pt>
                <c:pt idx="55">
                  <c:v>138.34727567154727</c:v>
                </c:pt>
                <c:pt idx="56">
                  <c:v>114.45122301392659</c:v>
                </c:pt>
                <c:pt idx="57">
                  <c:v>84.425502987844808</c:v>
                </c:pt>
                <c:pt idx="58">
                  <c:v>95.551765209359004</c:v>
                </c:pt>
                <c:pt idx="59">
                  <c:v>98.995981850896669</c:v>
                </c:pt>
                <c:pt idx="60">
                  <c:v>96.535997059147078</c:v>
                </c:pt>
                <c:pt idx="61">
                  <c:v>111.54876919917245</c:v>
                </c:pt>
                <c:pt idx="62">
                  <c:v>104.12189874497871</c:v>
                </c:pt>
                <c:pt idx="63">
                  <c:v>94.185683198365837</c:v>
                </c:pt>
                <c:pt idx="64">
                  <c:v>82.277137539492884</c:v>
                </c:pt>
                <c:pt idx="65">
                  <c:v>83.401198339183836</c:v>
                </c:pt>
                <c:pt idx="66">
                  <c:v>91.600529379491078</c:v>
                </c:pt>
                <c:pt idx="67">
                  <c:v>81.474892056787724</c:v>
                </c:pt>
                <c:pt idx="68">
                  <c:v>71.384760839934074</c:v>
                </c:pt>
                <c:pt idx="69">
                  <c:v>60.068982209851143</c:v>
                </c:pt>
                <c:pt idx="70">
                  <c:v>60.027954974840192</c:v>
                </c:pt>
                <c:pt idx="71">
                  <c:v>69.423324277816278</c:v>
                </c:pt>
                <c:pt idx="72">
                  <c:v>67.706861460322983</c:v>
                </c:pt>
                <c:pt idx="73">
                  <c:v>79.705959585767147</c:v>
                </c:pt>
                <c:pt idx="74">
                  <c:v>88.974148245508474</c:v>
                </c:pt>
                <c:pt idx="75">
                  <c:v>83.405010676165858</c:v>
                </c:pt>
                <c:pt idx="76">
                  <c:v>73.0578955013018</c:v>
                </c:pt>
                <c:pt idx="77">
                  <c:v>84.445481255901726</c:v>
                </c:pt>
                <c:pt idx="78">
                  <c:v>89.181317666953646</c:v>
                </c:pt>
                <c:pt idx="79">
                  <c:v>77.678750747461422</c:v>
                </c:pt>
                <c:pt idx="80">
                  <c:v>96.91126079986401</c:v>
                </c:pt>
                <c:pt idx="81">
                  <c:v>102.70070818620691</c:v>
                </c:pt>
                <c:pt idx="82">
                  <c:v>102.23850693958894</c:v>
                </c:pt>
                <c:pt idx="83">
                  <c:v>97.713749623227585</c:v>
                </c:pt>
                <c:pt idx="84">
                  <c:v>93.00613532098312</c:v>
                </c:pt>
                <c:pt idx="85">
                  <c:v>85.573780238726968</c:v>
                </c:pt>
                <c:pt idx="86">
                  <c:v>87.891640567029214</c:v>
                </c:pt>
                <c:pt idx="87">
                  <c:v>85.925588643756598</c:v>
                </c:pt>
                <c:pt idx="88">
                  <c:v>90.112261968223692</c:v>
                </c:pt>
                <c:pt idx="89">
                  <c:v>91.090481951856049</c:v>
                </c:pt>
                <c:pt idx="90">
                  <c:v>104.3243581727908</c:v>
                </c:pt>
                <c:pt idx="91">
                  <c:v>106.12261184125937</c:v>
                </c:pt>
                <c:pt idx="92">
                  <c:v>111.00817440754939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049216"/>
        <c:axId val="141075584"/>
      </c:lineChart>
      <c:catAx>
        <c:axId val="141049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41075584"/>
        <c:crosses val="autoZero"/>
        <c:auto val="1"/>
        <c:lblAlgn val="ctr"/>
        <c:lblOffset val="100"/>
        <c:noMultiLvlLbl val="0"/>
      </c:catAx>
      <c:valAx>
        <c:axId val="141075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41049216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US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'ATF fuel'!$G$135</c:f>
              <c:strCache>
                <c:ptCount val="1"/>
                <c:pt idx="0">
                  <c:v>ATF Price (Rs)</c:v>
                </c:pt>
              </c:strCache>
            </c:strRef>
          </c:tx>
          <c:marker>
            <c:symbol val="none"/>
          </c:marker>
          <c:cat>
            <c:strRef>
              <c:f>'ATF fuel'!$F$136:$F$228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fuel'!$G$136:$G$228</c:f>
              <c:numCache>
                <c:formatCode>General</c:formatCode>
                <c:ptCount val="93"/>
                <c:pt idx="0">
                  <c:v>100</c:v>
                </c:pt>
                <c:pt idx="1">
                  <c:v>103.72976841957673</c:v>
                </c:pt>
                <c:pt idx="2">
                  <c:v>96.820299400593555</c:v>
                </c:pt>
                <c:pt idx="3">
                  <c:v>101.4762474991858</c:v>
                </c:pt>
                <c:pt idx="4">
                  <c:v>100.75593186277764</c:v>
                </c:pt>
                <c:pt idx="5">
                  <c:v>98.274636157987487</c:v>
                </c:pt>
                <c:pt idx="6">
                  <c:v>99.624598211490635</c:v>
                </c:pt>
                <c:pt idx="7">
                  <c:v>103.19012623528991</c:v>
                </c:pt>
                <c:pt idx="8">
                  <c:v>107.9580005794399</c:v>
                </c:pt>
                <c:pt idx="9">
                  <c:v>114.00997513570368</c:v>
                </c:pt>
                <c:pt idx="10">
                  <c:v>121.43840413157238</c:v>
                </c:pt>
                <c:pt idx="11">
                  <c:v>130.79110683115269</c:v>
                </c:pt>
                <c:pt idx="12">
                  <c:v>140.79251513731876</c:v>
                </c:pt>
                <c:pt idx="13">
                  <c:v>144.19556103474369</c:v>
                </c:pt>
                <c:pt idx="14">
                  <c:v>134.68337428354036</c:v>
                </c:pt>
                <c:pt idx="15">
                  <c:v>134.12007435901631</c:v>
                </c:pt>
                <c:pt idx="16">
                  <c:v>137.82690637964939</c:v>
                </c:pt>
                <c:pt idx="17">
                  <c:v>134.10636323895983</c:v>
                </c:pt>
                <c:pt idx="18">
                  <c:v>139.50458843506178</c:v>
                </c:pt>
                <c:pt idx="19">
                  <c:v>145.37374805723897</c:v>
                </c:pt>
                <c:pt idx="20">
                  <c:v>153.67421105127525</c:v>
                </c:pt>
                <c:pt idx="21">
                  <c:v>150.12928633817327</c:v>
                </c:pt>
                <c:pt idx="22">
                  <c:v>149.69497688918281</c:v>
                </c:pt>
                <c:pt idx="23">
                  <c:v>153.69055957543631</c:v>
                </c:pt>
                <c:pt idx="24">
                  <c:v>161.20648501602233</c:v>
                </c:pt>
                <c:pt idx="25">
                  <c:v>160.11125224228638</c:v>
                </c:pt>
                <c:pt idx="26">
                  <c:v>156.25040258452054</c:v>
                </c:pt>
                <c:pt idx="27">
                  <c:v>145.73799159761353</c:v>
                </c:pt>
                <c:pt idx="28">
                  <c:v>154.5502800523038</c:v>
                </c:pt>
                <c:pt idx="29">
                  <c:v>169.6579901143555</c:v>
                </c:pt>
                <c:pt idx="30">
                  <c:v>165.47245797778373</c:v>
                </c:pt>
                <c:pt idx="31">
                  <c:v>161.07535305852349</c:v>
                </c:pt>
                <c:pt idx="32">
                  <c:v>159.50836307879939</c:v>
                </c:pt>
                <c:pt idx="33">
                  <c:v>158.86088037112538</c:v>
                </c:pt>
                <c:pt idx="34">
                  <c:v>162.01488318694871</c:v>
                </c:pt>
                <c:pt idx="35">
                  <c:v>167.94301245987441</c:v>
                </c:pt>
                <c:pt idx="36">
                  <c:v>159.30710885789614</c:v>
                </c:pt>
                <c:pt idx="37">
                  <c:v>151.01978216507297</c:v>
                </c:pt>
                <c:pt idx="38">
                  <c:v>150.4564033438449</c:v>
                </c:pt>
                <c:pt idx="39">
                  <c:v>158.93571953033211</c:v>
                </c:pt>
                <c:pt idx="40">
                  <c:v>168.67584449482152</c:v>
                </c:pt>
                <c:pt idx="41">
                  <c:v>180.36291469446002</c:v>
                </c:pt>
                <c:pt idx="42">
                  <c:v>185.0094740852783</c:v>
                </c:pt>
                <c:pt idx="43">
                  <c:v>176.79157649196031</c:v>
                </c:pt>
                <c:pt idx="44">
                  <c:v>178.15311945451239</c:v>
                </c:pt>
                <c:pt idx="45">
                  <c:v>182.83642216747134</c:v>
                </c:pt>
                <c:pt idx="46">
                  <c:v>177.80680800785734</c:v>
                </c:pt>
                <c:pt idx="47">
                  <c:v>179.68806046598274</c:v>
                </c:pt>
                <c:pt idx="48">
                  <c:v>172.69555830153618</c:v>
                </c:pt>
                <c:pt idx="49">
                  <c:v>170.86056748933913</c:v>
                </c:pt>
                <c:pt idx="50">
                  <c:v>167.71585757814921</c:v>
                </c:pt>
                <c:pt idx="51">
                  <c:v>168.60016001378631</c:v>
                </c:pt>
                <c:pt idx="52">
                  <c:v>168.36661449903855</c:v>
                </c:pt>
                <c:pt idx="53">
                  <c:v>167.37032946305516</c:v>
                </c:pt>
                <c:pt idx="54">
                  <c:v>162.46217677922314</c:v>
                </c:pt>
                <c:pt idx="55">
                  <c:v>150.80495771108457</c:v>
                </c:pt>
                <c:pt idx="56">
                  <c:v>144.5951164856294</c:v>
                </c:pt>
                <c:pt idx="57">
                  <c:v>126.94874154403414</c:v>
                </c:pt>
                <c:pt idx="58">
                  <c:v>113.17813337273634</c:v>
                </c:pt>
                <c:pt idx="59">
                  <c:v>122.22902800218698</c:v>
                </c:pt>
                <c:pt idx="60">
                  <c:v>120.10445247349877</c:v>
                </c:pt>
                <c:pt idx="61">
                  <c:v>120.80028195427785</c:v>
                </c:pt>
                <c:pt idx="62">
                  <c:v>129.46560275588413</c:v>
                </c:pt>
                <c:pt idx="63">
                  <c:v>124.63652711135865</c:v>
                </c:pt>
                <c:pt idx="64">
                  <c:v>113.17039022478831</c:v>
                </c:pt>
                <c:pt idx="65">
                  <c:v>100.05918379894484</c:v>
                </c:pt>
                <c:pt idx="66">
                  <c:v>105.30788283456224</c:v>
                </c:pt>
                <c:pt idx="67">
                  <c:v>104.80550243647087</c:v>
                </c:pt>
                <c:pt idx="68">
                  <c:v>104.6082832184285</c:v>
                </c:pt>
                <c:pt idx="69">
                  <c:v>94.500736303489688</c:v>
                </c:pt>
                <c:pt idx="70">
                  <c:v>83.679630691291038</c:v>
                </c:pt>
                <c:pt idx="71">
                  <c:v>93.412040685226671</c:v>
                </c:pt>
                <c:pt idx="72">
                  <c:v>99.094913918342016</c:v>
                </c:pt>
                <c:pt idx="73">
                  <c:v>100.00054100596995</c:v>
                </c:pt>
                <c:pt idx="74">
                  <c:v>108.94912915226989</c:v>
                </c:pt>
                <c:pt idx="75">
                  <c:v>114.87066491493415</c:v>
                </c:pt>
                <c:pt idx="76">
                  <c:v>110.19037718316312</c:v>
                </c:pt>
                <c:pt idx="77">
                  <c:v>106.06189863452887</c:v>
                </c:pt>
                <c:pt idx="78">
                  <c:v>109.19823985961774</c:v>
                </c:pt>
                <c:pt idx="79">
                  <c:v>116.99525171458016</c:v>
                </c:pt>
                <c:pt idx="80">
                  <c:v>112.70512509044222</c:v>
                </c:pt>
                <c:pt idx="81">
                  <c:v>122.20855430750346</c:v>
                </c:pt>
                <c:pt idx="82">
                  <c:v>125.82309409091287</c:v>
                </c:pt>
                <c:pt idx="83">
                  <c:v>126.47119106578221</c:v>
                </c:pt>
                <c:pt idx="84">
                  <c:v>120.01879319488869</c:v>
                </c:pt>
                <c:pt idx="85">
                  <c:v>120.45328861468141</c:v>
                </c:pt>
                <c:pt idx="86">
                  <c:v>115.96068487072849</c:v>
                </c:pt>
                <c:pt idx="87">
                  <c:v>109.65796531824863</c:v>
                </c:pt>
                <c:pt idx="88">
                  <c:v>113.2941641253943</c:v>
                </c:pt>
                <c:pt idx="89">
                  <c:v>116.40588770034748</c:v>
                </c:pt>
                <c:pt idx="90">
                  <c:v>123.11830656565394</c:v>
                </c:pt>
                <c:pt idx="91">
                  <c:v>125.6627252691095</c:v>
                </c:pt>
                <c:pt idx="92">
                  <c:v>132.964615222747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'ATF fuel'!$H$135</c:f>
              <c:strCache>
                <c:ptCount val="1"/>
                <c:pt idx="0">
                  <c:v>Brent ($)</c:v>
                </c:pt>
              </c:strCache>
            </c:strRef>
          </c:tx>
          <c:marker>
            <c:symbol val="none"/>
          </c:marker>
          <c:cat>
            <c:strRef>
              <c:f>'ATF fuel'!$F$136:$F$228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fuel'!$H$136:$H$228</c:f>
              <c:numCache>
                <c:formatCode>General</c:formatCode>
                <c:ptCount val="93"/>
                <c:pt idx="0">
                  <c:v>100</c:v>
                </c:pt>
                <c:pt idx="1">
                  <c:v>106.60776957521483</c:v>
                </c:pt>
                <c:pt idx="2">
                  <c:v>88.442454314413666</c:v>
                </c:pt>
                <c:pt idx="3">
                  <c:v>86.808665133728695</c:v>
                </c:pt>
                <c:pt idx="4">
                  <c:v>99.152850054459691</c:v>
                </c:pt>
                <c:pt idx="5">
                  <c:v>91.407479123804961</c:v>
                </c:pt>
                <c:pt idx="6">
                  <c:v>100.07261285247495</c:v>
                </c:pt>
                <c:pt idx="7">
                  <c:v>101.73060631731825</c:v>
                </c:pt>
                <c:pt idx="8">
                  <c:v>107.17657025293485</c:v>
                </c:pt>
                <c:pt idx="9">
                  <c:v>115.96272540239629</c:v>
                </c:pt>
                <c:pt idx="10">
                  <c:v>121.50550647464608</c:v>
                </c:pt>
                <c:pt idx="11">
                  <c:v>137.16567832506365</c:v>
                </c:pt>
                <c:pt idx="12">
                  <c:v>143.56771148493297</c:v>
                </c:pt>
                <c:pt idx="13">
                  <c:v>147.10153697204416</c:v>
                </c:pt>
                <c:pt idx="14">
                  <c:v>139.28355318891454</c:v>
                </c:pt>
                <c:pt idx="15">
                  <c:v>137.41982330872574</c:v>
                </c:pt>
                <c:pt idx="16">
                  <c:v>137.64976400822954</c:v>
                </c:pt>
                <c:pt idx="17">
                  <c:v>142.20016942998919</c:v>
                </c:pt>
                <c:pt idx="18">
                  <c:v>126.32215902214701</c:v>
                </c:pt>
                <c:pt idx="19">
                  <c:v>135.81023841219908</c:v>
                </c:pt>
                <c:pt idx="20">
                  <c:v>133.31719714389459</c:v>
                </c:pt>
                <c:pt idx="21">
                  <c:v>134.41849207309707</c:v>
                </c:pt>
                <c:pt idx="22">
                  <c:v>141.42563233692377</c:v>
                </c:pt>
                <c:pt idx="23">
                  <c:v>151.72455524627875</c:v>
                </c:pt>
                <c:pt idx="24">
                  <c:v>147.51300980273521</c:v>
                </c:pt>
                <c:pt idx="25">
                  <c:v>135.41086772358719</c:v>
                </c:pt>
                <c:pt idx="26">
                  <c:v>119.32712090039946</c:v>
                </c:pt>
                <c:pt idx="27">
                  <c:v>120.08955585138578</c:v>
                </c:pt>
                <c:pt idx="28">
                  <c:v>137.38351688248829</c:v>
                </c:pt>
                <c:pt idx="29">
                  <c:v>139.00520392109411</c:v>
                </c:pt>
                <c:pt idx="30">
                  <c:v>138.35168824882012</c:v>
                </c:pt>
                <c:pt idx="31">
                  <c:v>131.44136512162663</c:v>
                </c:pt>
                <c:pt idx="32">
                  <c:v>130.21904877163269</c:v>
                </c:pt>
                <c:pt idx="33">
                  <c:v>136.71789906813515</c:v>
                </c:pt>
                <c:pt idx="34">
                  <c:v>143.15623865424192</c:v>
                </c:pt>
                <c:pt idx="35">
                  <c:v>131.47767154786411</c:v>
                </c:pt>
                <c:pt idx="36">
                  <c:v>125.9590947597726</c:v>
                </c:pt>
                <c:pt idx="37">
                  <c:v>125.36608979789435</c:v>
                </c:pt>
                <c:pt idx="38">
                  <c:v>122.83674210335242</c:v>
                </c:pt>
                <c:pt idx="39">
                  <c:v>131.22352656420199</c:v>
                </c:pt>
                <c:pt idx="40">
                  <c:v>131.29613941667685</c:v>
                </c:pt>
                <c:pt idx="41">
                  <c:v>135.99177054338631</c:v>
                </c:pt>
                <c:pt idx="42">
                  <c:v>131.9375529468717</c:v>
                </c:pt>
                <c:pt idx="43">
                  <c:v>127.99225462906946</c:v>
                </c:pt>
                <c:pt idx="44">
                  <c:v>131.80442938400108</c:v>
                </c:pt>
                <c:pt idx="45">
                  <c:v>128.81520029045154</c:v>
                </c:pt>
                <c:pt idx="46">
                  <c:v>133.3414014280529</c:v>
                </c:pt>
                <c:pt idx="47">
                  <c:v>131.02989229093561</c:v>
                </c:pt>
                <c:pt idx="48">
                  <c:v>128.07696962362348</c:v>
                </c:pt>
                <c:pt idx="49">
                  <c:v>130.93307515430243</c:v>
                </c:pt>
                <c:pt idx="50">
                  <c:v>132.16749364637553</c:v>
                </c:pt>
                <c:pt idx="51">
                  <c:v>130.27955948202845</c:v>
                </c:pt>
                <c:pt idx="52">
                  <c:v>125.88648190729771</c:v>
                </c:pt>
                <c:pt idx="53">
                  <c:v>120.45262011376026</c:v>
                </c:pt>
                <c:pt idx="54">
                  <c:v>110.00847149945552</c:v>
                </c:pt>
                <c:pt idx="55">
                  <c:v>100.68982209851153</c:v>
                </c:pt>
                <c:pt idx="56">
                  <c:v>82.294566138206534</c:v>
                </c:pt>
                <c:pt idx="57">
                  <c:v>59.82088829722867</c:v>
                </c:pt>
                <c:pt idx="58">
                  <c:v>68.982209851143722</c:v>
                </c:pt>
                <c:pt idx="59">
                  <c:v>71.584170398160552</c:v>
                </c:pt>
                <c:pt idx="60">
                  <c:v>69.647827665496862</c:v>
                </c:pt>
                <c:pt idx="61">
                  <c:v>78.579208519908093</c:v>
                </c:pt>
                <c:pt idx="62">
                  <c:v>73.048529589737456</c:v>
                </c:pt>
                <c:pt idx="63">
                  <c:v>66.222921457097968</c:v>
                </c:pt>
                <c:pt idx="64">
                  <c:v>57.533583444269695</c:v>
                </c:pt>
                <c:pt idx="65">
                  <c:v>56.178143531405112</c:v>
                </c:pt>
                <c:pt idx="66">
                  <c:v>62.519665980878663</c:v>
                </c:pt>
                <c:pt idx="67">
                  <c:v>55.778772842793217</c:v>
                </c:pt>
                <c:pt idx="68">
                  <c:v>48.03340191213848</c:v>
                </c:pt>
                <c:pt idx="69">
                  <c:v>40.626890959699892</c:v>
                </c:pt>
                <c:pt idx="70">
                  <c:v>39.646617451288904</c:v>
                </c:pt>
                <c:pt idx="71">
                  <c:v>45.516156359675705</c:v>
                </c:pt>
                <c:pt idx="72">
                  <c:v>45.709790632942088</c:v>
                </c:pt>
                <c:pt idx="73">
                  <c:v>53.721408689338062</c:v>
                </c:pt>
                <c:pt idx="74">
                  <c:v>59.227883335350413</c:v>
                </c:pt>
                <c:pt idx="75">
                  <c:v>55.306789301706466</c:v>
                </c:pt>
                <c:pt idx="76">
                  <c:v>48.95316471015375</c:v>
                </c:pt>
                <c:pt idx="77">
                  <c:v>56.541207793779563</c:v>
                </c:pt>
                <c:pt idx="78">
                  <c:v>59.990318286336752</c:v>
                </c:pt>
                <c:pt idx="79">
                  <c:v>52.1118237928114</c:v>
                </c:pt>
                <c:pt idx="80">
                  <c:v>63.306305216023311</c:v>
                </c:pt>
                <c:pt idx="81">
                  <c:v>67.650974222437455</c:v>
                </c:pt>
                <c:pt idx="82">
                  <c:v>67.675178506595771</c:v>
                </c:pt>
                <c:pt idx="83">
                  <c:v>65.545201500665712</c:v>
                </c:pt>
                <c:pt idx="84">
                  <c:v>64.238170156117732</c:v>
                </c:pt>
                <c:pt idx="85">
                  <c:v>59.675662592278925</c:v>
                </c:pt>
                <c:pt idx="86">
                  <c:v>61.006898220985221</c:v>
                </c:pt>
                <c:pt idx="87">
                  <c:v>59.457824034854283</c:v>
                </c:pt>
                <c:pt idx="88">
                  <c:v>62.919036669490616</c:v>
                </c:pt>
                <c:pt idx="89">
                  <c:v>63.766186615030975</c:v>
                </c:pt>
                <c:pt idx="90">
                  <c:v>71.160595425390397</c:v>
                </c:pt>
                <c:pt idx="91">
                  <c:v>73.399491710032777</c:v>
                </c:pt>
                <c:pt idx="92">
                  <c:v>76.921215055064849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'ATF fuel'!$I$135</c:f>
              <c:strCache>
                <c:ptCount val="1"/>
                <c:pt idx="0">
                  <c:v>US Oil ($)</c:v>
                </c:pt>
              </c:strCache>
            </c:strRef>
          </c:tx>
          <c:marker>
            <c:symbol val="none"/>
          </c:marker>
          <c:cat>
            <c:strRef>
              <c:f>'ATF fuel'!$F$136:$F$228</c:f>
              <c:strCache>
                <c:ptCount val="93"/>
                <c:pt idx="0">
                  <c:v>April 01, 2010</c:v>
                </c:pt>
                <c:pt idx="1">
                  <c:v>May 01, 2010</c:v>
                </c:pt>
                <c:pt idx="2">
                  <c:v>June 01, 2010</c:v>
                </c:pt>
                <c:pt idx="3">
                  <c:v>July 01, 2010</c:v>
                </c:pt>
                <c:pt idx="4">
                  <c:v>August 01, 2010</c:v>
                </c:pt>
                <c:pt idx="5">
                  <c:v>September 01, 2010</c:v>
                </c:pt>
                <c:pt idx="6">
                  <c:v>October 01, 2010</c:v>
                </c:pt>
                <c:pt idx="7">
                  <c:v>November 01, 2010</c:v>
                </c:pt>
                <c:pt idx="8">
                  <c:v>December 01, 2010</c:v>
                </c:pt>
                <c:pt idx="9">
                  <c:v>January 01, 2011</c:v>
                </c:pt>
                <c:pt idx="10">
                  <c:v>February 01, 2011</c:v>
                </c:pt>
                <c:pt idx="11">
                  <c:v>March 01, 2011</c:v>
                </c:pt>
                <c:pt idx="12">
                  <c:v>April 01, 2011</c:v>
                </c:pt>
                <c:pt idx="13">
                  <c:v>May 01, 2011</c:v>
                </c:pt>
                <c:pt idx="14">
                  <c:v>June 01, 2011</c:v>
                </c:pt>
                <c:pt idx="15">
                  <c:v>July 01, 2011</c:v>
                </c:pt>
                <c:pt idx="16">
                  <c:v>August 01, 2011</c:v>
                </c:pt>
                <c:pt idx="17">
                  <c:v>September 01, 2011</c:v>
                </c:pt>
                <c:pt idx="18">
                  <c:v>October 01, 2011</c:v>
                </c:pt>
                <c:pt idx="19">
                  <c:v>November 01, 2011</c:v>
                </c:pt>
                <c:pt idx="20">
                  <c:v>December 01, 2011</c:v>
                </c:pt>
                <c:pt idx="21">
                  <c:v>January 01, 2012</c:v>
                </c:pt>
                <c:pt idx="22">
                  <c:v>February 01, 2012</c:v>
                </c:pt>
                <c:pt idx="23">
                  <c:v>March 01, 2012</c:v>
                </c:pt>
                <c:pt idx="24">
                  <c:v>April 01, 2012</c:v>
                </c:pt>
                <c:pt idx="25">
                  <c:v>May 01, 2012</c:v>
                </c:pt>
                <c:pt idx="26">
                  <c:v>June 01, 2012</c:v>
                </c:pt>
                <c:pt idx="27">
                  <c:v>July 01, 2012</c:v>
                </c:pt>
                <c:pt idx="28">
                  <c:v>August 01, 2012</c:v>
                </c:pt>
                <c:pt idx="29">
                  <c:v>September 01, 2012</c:v>
                </c:pt>
                <c:pt idx="30">
                  <c:v>October 01, 2012</c:v>
                </c:pt>
                <c:pt idx="31">
                  <c:v>November 01, 2012</c:v>
                </c:pt>
                <c:pt idx="32">
                  <c:v>December 01, 2012</c:v>
                </c:pt>
                <c:pt idx="33">
                  <c:v>January 01, 2013</c:v>
                </c:pt>
                <c:pt idx="34">
                  <c:v>February 01, 2013</c:v>
                </c:pt>
                <c:pt idx="35">
                  <c:v>March 01, 2013</c:v>
                </c:pt>
                <c:pt idx="36">
                  <c:v>April 01, 2013</c:v>
                </c:pt>
                <c:pt idx="37">
                  <c:v>May 01, 2013</c:v>
                </c:pt>
                <c:pt idx="38">
                  <c:v>June 01, 2013</c:v>
                </c:pt>
                <c:pt idx="39">
                  <c:v>July 01, 2013</c:v>
                </c:pt>
                <c:pt idx="40">
                  <c:v>August 01, 2013</c:v>
                </c:pt>
                <c:pt idx="41">
                  <c:v>September 01, 2013</c:v>
                </c:pt>
                <c:pt idx="42">
                  <c:v>October 01, 2013</c:v>
                </c:pt>
                <c:pt idx="43">
                  <c:v>November 01, 2013</c:v>
                </c:pt>
                <c:pt idx="44">
                  <c:v>December 01, 2013</c:v>
                </c:pt>
                <c:pt idx="45">
                  <c:v>January 01, 2014</c:v>
                </c:pt>
                <c:pt idx="46">
                  <c:v>February 01, 2014</c:v>
                </c:pt>
                <c:pt idx="47">
                  <c:v>March 01, 2014</c:v>
                </c:pt>
                <c:pt idx="48">
                  <c:v>April 01, 2014</c:v>
                </c:pt>
                <c:pt idx="49">
                  <c:v>May 01, 2014</c:v>
                </c:pt>
                <c:pt idx="50">
                  <c:v>June 01, 2014</c:v>
                </c:pt>
                <c:pt idx="51">
                  <c:v>July 01, 2014</c:v>
                </c:pt>
                <c:pt idx="52">
                  <c:v>August 01, 2014</c:v>
                </c:pt>
                <c:pt idx="53">
                  <c:v>September 01, 2014</c:v>
                </c:pt>
                <c:pt idx="54">
                  <c:v>October 01, 2014</c:v>
                </c:pt>
                <c:pt idx="55">
                  <c:v>November 01, 2014</c:v>
                </c:pt>
                <c:pt idx="56">
                  <c:v>December 01, 2014</c:v>
                </c:pt>
                <c:pt idx="57">
                  <c:v>January 01, 2015</c:v>
                </c:pt>
                <c:pt idx="58">
                  <c:v>February 01, 2015</c:v>
                </c:pt>
                <c:pt idx="59">
                  <c:v>March 01, 2015</c:v>
                </c:pt>
                <c:pt idx="60">
                  <c:v>April 01, 2015</c:v>
                </c:pt>
                <c:pt idx="61">
                  <c:v>May 01, 2015</c:v>
                </c:pt>
                <c:pt idx="62">
                  <c:v>June 01, 2015</c:v>
                </c:pt>
                <c:pt idx="63">
                  <c:v>July 01, 2015</c:v>
                </c:pt>
                <c:pt idx="64">
                  <c:v>August 01, 2015</c:v>
                </c:pt>
                <c:pt idx="65">
                  <c:v>September 01, 2015</c:v>
                </c:pt>
                <c:pt idx="66">
                  <c:v>October 01, 2015</c:v>
                </c:pt>
                <c:pt idx="67">
                  <c:v>November 01, 2015</c:v>
                </c:pt>
                <c:pt idx="68">
                  <c:v>December 01, 2015</c:v>
                </c:pt>
                <c:pt idx="69">
                  <c:v>January 01, 2016</c:v>
                </c:pt>
                <c:pt idx="70">
                  <c:v>February 01,2016</c:v>
                </c:pt>
                <c:pt idx="71">
                  <c:v>March 01,2016</c:v>
                </c:pt>
                <c:pt idx="72">
                  <c:v>April 01,2016</c:v>
                </c:pt>
                <c:pt idx="73">
                  <c:v>May 01,2016</c:v>
                </c:pt>
                <c:pt idx="74">
                  <c:v>June 01,2016</c:v>
                </c:pt>
                <c:pt idx="75">
                  <c:v>July 01,2016</c:v>
                </c:pt>
                <c:pt idx="76">
                  <c:v>August 01,2016</c:v>
                </c:pt>
                <c:pt idx="77">
                  <c:v>September 01,2016</c:v>
                </c:pt>
                <c:pt idx="78">
                  <c:v>October 01,2016</c:v>
                </c:pt>
                <c:pt idx="79">
                  <c:v>November 01,2016</c:v>
                </c:pt>
                <c:pt idx="80">
                  <c:v>December 01,2016</c:v>
                </c:pt>
                <c:pt idx="81">
                  <c:v>January 01, 2017</c:v>
                </c:pt>
                <c:pt idx="82">
                  <c:v>February 01,2017</c:v>
                </c:pt>
                <c:pt idx="83">
                  <c:v>March 01,2017</c:v>
                </c:pt>
                <c:pt idx="84">
                  <c:v>April 01, 2017</c:v>
                </c:pt>
                <c:pt idx="85">
                  <c:v>May 01, 2017</c:v>
                </c:pt>
                <c:pt idx="86">
                  <c:v>June 01, 2017</c:v>
                </c:pt>
                <c:pt idx="87">
                  <c:v>July 01, 2017</c:v>
                </c:pt>
                <c:pt idx="88">
                  <c:v>August 01, 2017</c:v>
                </c:pt>
                <c:pt idx="89">
                  <c:v>September 01,2017</c:v>
                </c:pt>
                <c:pt idx="90">
                  <c:v>October 01,2017</c:v>
                </c:pt>
                <c:pt idx="91">
                  <c:v>November 01,2017</c:v>
                </c:pt>
                <c:pt idx="92">
                  <c:v>December 01,2017</c:v>
                </c:pt>
              </c:strCache>
            </c:strRef>
          </c:cat>
          <c:val>
            <c:numRef>
              <c:f>'ATF fuel'!$I$136:$I$228</c:f>
              <c:numCache>
                <c:formatCode>General</c:formatCode>
                <c:ptCount val="93"/>
                <c:pt idx="0">
                  <c:v>100</c:v>
                </c:pt>
                <c:pt idx="1">
                  <c:v>101.96379983437831</c:v>
                </c:pt>
                <c:pt idx="2">
                  <c:v>86.004968650183372</c:v>
                </c:pt>
                <c:pt idx="3">
                  <c:v>86.300721637288532</c:v>
                </c:pt>
                <c:pt idx="4">
                  <c:v>96.119720809180151</c:v>
                </c:pt>
                <c:pt idx="5">
                  <c:v>87.507393824677621</c:v>
                </c:pt>
                <c:pt idx="6">
                  <c:v>96.498284632674768</c:v>
                </c:pt>
                <c:pt idx="7">
                  <c:v>98.119011002011135</c:v>
                </c:pt>
                <c:pt idx="8">
                  <c:v>102.6262865254939</c:v>
                </c:pt>
                <c:pt idx="9">
                  <c:v>108.35206435584999</c:v>
                </c:pt>
                <c:pt idx="10">
                  <c:v>105.9268898615876</c:v>
                </c:pt>
                <c:pt idx="11">
                  <c:v>117.86348042115227</c:v>
                </c:pt>
                <c:pt idx="12">
                  <c:v>127.23293505264407</c:v>
                </c:pt>
                <c:pt idx="13">
                  <c:v>133.71584052998941</c:v>
                </c:pt>
                <c:pt idx="14">
                  <c:v>118.65609842659417</c:v>
                </c:pt>
                <c:pt idx="15">
                  <c:v>112.16136282976463</c:v>
                </c:pt>
                <c:pt idx="16">
                  <c:v>112.36247486099613</c:v>
                </c:pt>
                <c:pt idx="17">
                  <c:v>105.20525257305103</c:v>
                </c:pt>
                <c:pt idx="18">
                  <c:v>91.494144090855343</c:v>
                </c:pt>
                <c:pt idx="19">
                  <c:v>109.06187152490243</c:v>
                </c:pt>
                <c:pt idx="20">
                  <c:v>118.53779723175211</c:v>
                </c:pt>
                <c:pt idx="21">
                  <c:v>121.80291020939319</c:v>
                </c:pt>
                <c:pt idx="22">
                  <c:v>115.49745652431095</c:v>
                </c:pt>
                <c:pt idx="23">
                  <c:v>128.66437951023312</c:v>
                </c:pt>
                <c:pt idx="24">
                  <c:v>124.51200757127651</c:v>
                </c:pt>
                <c:pt idx="25">
                  <c:v>125.60037856382357</c:v>
                </c:pt>
                <c:pt idx="26">
                  <c:v>98.39110375014792</c:v>
                </c:pt>
                <c:pt idx="27">
                  <c:v>99.041760321779265</c:v>
                </c:pt>
                <c:pt idx="28">
                  <c:v>105.27623328995624</c:v>
                </c:pt>
                <c:pt idx="29">
                  <c:v>112.78835916242758</c:v>
                </c:pt>
                <c:pt idx="30">
                  <c:v>109.3576245120076</c:v>
                </c:pt>
                <c:pt idx="31">
                  <c:v>102.98119011002012</c:v>
                </c:pt>
                <c:pt idx="32">
                  <c:v>104.92132970543004</c:v>
                </c:pt>
                <c:pt idx="33">
                  <c:v>110.18573287590208</c:v>
                </c:pt>
                <c:pt idx="34">
                  <c:v>115.29634449307936</c:v>
                </c:pt>
                <c:pt idx="35">
                  <c:v>107.31101384123978</c:v>
                </c:pt>
                <c:pt idx="36">
                  <c:v>114.87046019164791</c:v>
                </c:pt>
                <c:pt idx="37">
                  <c:v>107.34650419969239</c:v>
                </c:pt>
                <c:pt idx="38">
                  <c:v>110.50514610197563</c:v>
                </c:pt>
                <c:pt idx="39">
                  <c:v>115.86419022832129</c:v>
                </c:pt>
                <c:pt idx="40">
                  <c:v>127.68247959304387</c:v>
                </c:pt>
                <c:pt idx="41">
                  <c:v>128.55790843487517</c:v>
                </c:pt>
                <c:pt idx="42">
                  <c:v>120.7736898142671</c:v>
                </c:pt>
                <c:pt idx="43">
                  <c:v>111.8656098426594</c:v>
                </c:pt>
                <c:pt idx="44">
                  <c:v>110.74174849165976</c:v>
                </c:pt>
                <c:pt idx="45">
                  <c:v>112.55175677274343</c:v>
                </c:pt>
                <c:pt idx="46">
                  <c:v>114.08967230569031</c:v>
                </c:pt>
                <c:pt idx="47">
                  <c:v>124.6184786466344</c:v>
                </c:pt>
                <c:pt idx="48">
                  <c:v>117.93446113805754</c:v>
                </c:pt>
                <c:pt idx="49">
                  <c:v>117.93446113805754</c:v>
                </c:pt>
                <c:pt idx="50">
                  <c:v>121.93304152371944</c:v>
                </c:pt>
                <c:pt idx="51">
                  <c:v>125.47024724949728</c:v>
                </c:pt>
                <c:pt idx="52">
                  <c:v>115.7695492724477</c:v>
                </c:pt>
                <c:pt idx="53">
                  <c:v>109.92547024724955</c:v>
                </c:pt>
                <c:pt idx="54">
                  <c:v>107.34650419969246</c:v>
                </c:pt>
                <c:pt idx="55">
                  <c:v>93.185851177096907</c:v>
                </c:pt>
                <c:pt idx="56">
                  <c:v>81.60416420205847</c:v>
                </c:pt>
                <c:pt idx="57">
                  <c:v>63.231988643085323</c:v>
                </c:pt>
                <c:pt idx="58">
                  <c:v>58.263338459718476</c:v>
                </c:pt>
                <c:pt idx="59">
                  <c:v>58.665562522181531</c:v>
                </c:pt>
                <c:pt idx="60">
                  <c:v>59.292558854844465</c:v>
                </c:pt>
                <c:pt idx="61">
                  <c:v>69.91600615166216</c:v>
                </c:pt>
                <c:pt idx="62">
                  <c:v>71.264639772861713</c:v>
                </c:pt>
                <c:pt idx="63">
                  <c:v>67.360700343073461</c:v>
                </c:pt>
                <c:pt idx="64">
                  <c:v>53.531290666035737</c:v>
                </c:pt>
                <c:pt idx="65">
                  <c:v>53.68508221933044</c:v>
                </c:pt>
                <c:pt idx="66">
                  <c:v>52.939784691825416</c:v>
                </c:pt>
                <c:pt idx="67">
                  <c:v>54.560511061161755</c:v>
                </c:pt>
                <c:pt idx="68">
                  <c:v>48.006624866911189</c:v>
                </c:pt>
                <c:pt idx="69">
                  <c:v>43.925233644859851</c:v>
                </c:pt>
                <c:pt idx="70">
                  <c:v>37.406837809061905</c:v>
                </c:pt>
                <c:pt idx="71">
                  <c:v>40.683780906187195</c:v>
                </c:pt>
                <c:pt idx="72">
                  <c:v>41.831302496155253</c:v>
                </c:pt>
                <c:pt idx="73">
                  <c:v>52.93978469182543</c:v>
                </c:pt>
                <c:pt idx="74">
                  <c:v>58.050396309002771</c:v>
                </c:pt>
                <c:pt idx="75">
                  <c:v>57.991245711581733</c:v>
                </c:pt>
                <c:pt idx="76">
                  <c:v>47.379628534248226</c:v>
                </c:pt>
                <c:pt idx="77">
                  <c:v>51.070625813320746</c:v>
                </c:pt>
                <c:pt idx="78">
                  <c:v>57.730983082929171</c:v>
                </c:pt>
                <c:pt idx="79">
                  <c:v>55.199337513308912</c:v>
                </c:pt>
                <c:pt idx="80">
                  <c:v>60.428250325328307</c:v>
                </c:pt>
                <c:pt idx="81">
                  <c:v>61.942505619306772</c:v>
                </c:pt>
                <c:pt idx="82">
                  <c:v>63.764344019874613</c:v>
                </c:pt>
                <c:pt idx="83">
                  <c:v>63.669703064000963</c:v>
                </c:pt>
                <c:pt idx="84">
                  <c:v>59.446350408139146</c:v>
                </c:pt>
                <c:pt idx="85">
                  <c:v>57.766473441381777</c:v>
                </c:pt>
                <c:pt idx="86">
                  <c:v>57.163137347687233</c:v>
                </c:pt>
                <c:pt idx="87">
                  <c:v>54.442209866319672</c:v>
                </c:pt>
                <c:pt idx="88">
                  <c:v>58.192357742813236</c:v>
                </c:pt>
                <c:pt idx="89">
                  <c:v>55.980125399266569</c:v>
                </c:pt>
                <c:pt idx="90">
                  <c:v>59.848574470602195</c:v>
                </c:pt>
                <c:pt idx="91">
                  <c:v>64.261209038211305</c:v>
                </c:pt>
                <c:pt idx="92">
                  <c:v>69.02874719034665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330752"/>
        <c:axId val="177136384"/>
      </c:lineChart>
      <c:catAx>
        <c:axId val="148330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77136384"/>
        <c:crosses val="autoZero"/>
        <c:auto val="1"/>
        <c:lblAlgn val="ctr"/>
        <c:lblOffset val="100"/>
        <c:noMultiLvlLbl val="0"/>
      </c:catAx>
      <c:valAx>
        <c:axId val="177136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4833075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US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114300</xdr:colOff>
      <xdr:row>14</xdr:row>
      <xdr:rowOff>28575</xdr:rowOff>
    </xdr:from>
    <xdr:to>
      <xdr:col>29</xdr:col>
      <xdr:colOff>9525</xdr:colOff>
      <xdr:row>38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95250</xdr:colOff>
      <xdr:row>4</xdr:row>
      <xdr:rowOff>47625</xdr:rowOff>
    </xdr:from>
    <xdr:to>
      <xdr:col>36</xdr:col>
      <xdr:colOff>533400</xdr:colOff>
      <xdr:row>26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590550</xdr:colOff>
      <xdr:row>115</xdr:row>
      <xdr:rowOff>47625</xdr:rowOff>
    </xdr:from>
    <xdr:to>
      <xdr:col>13</xdr:col>
      <xdr:colOff>428625</xdr:colOff>
      <xdr:row>134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73"/>
  <sheetViews>
    <sheetView workbookViewId="0">
      <pane xSplit="2" ySplit="1" topLeftCell="T50" activePane="bottomRight" state="frozen"/>
      <selection pane="topRight" activeCell="C1" sqref="C1"/>
      <selection pane="bottomLeft" activeCell="A2" sqref="A2"/>
      <selection pane="bottomRight" activeCell="Z62" sqref="Z62"/>
    </sheetView>
  </sheetViews>
  <sheetFormatPr defaultRowHeight="15" x14ac:dyDescent="0.25"/>
  <cols>
    <col min="1" max="1" width="9.140625" style="70"/>
    <col min="2" max="2" width="56.42578125" style="90" bestFit="1" customWidth="1"/>
    <col min="3" max="5" width="11.5703125" style="91" bestFit="1" customWidth="1"/>
    <col min="6" max="6" width="13.28515625" style="91" customWidth="1"/>
    <col min="7" max="9" width="11.5703125" style="91" bestFit="1" customWidth="1"/>
    <col min="10" max="10" width="12.5703125" style="134" bestFit="1" customWidth="1"/>
    <col min="11" max="11" width="24.28515625" style="147" bestFit="1" customWidth="1"/>
    <col min="12" max="15" width="14.7109375" style="147" bestFit="1" customWidth="1"/>
    <col min="16" max="16" width="9.5703125" style="147" bestFit="1" customWidth="1"/>
    <col min="17" max="18" width="9.140625" style="70"/>
    <col min="19" max="19" width="24.42578125" style="70" bestFit="1" customWidth="1"/>
    <col min="20" max="20" width="9.140625" style="70"/>
    <col min="21" max="21" width="24.28515625" style="70" bestFit="1" customWidth="1"/>
    <col min="22" max="16384" width="9.140625" style="70"/>
  </cols>
  <sheetData>
    <row r="1" spans="2:24" ht="15.75" thickBot="1" x14ac:dyDescent="0.3">
      <c r="B1" s="68"/>
      <c r="C1" s="69">
        <v>2010</v>
      </c>
      <c r="D1" s="69">
        <v>2011</v>
      </c>
      <c r="E1" s="69">
        <v>2012</v>
      </c>
      <c r="F1" s="69">
        <v>2013</v>
      </c>
      <c r="G1" s="69">
        <v>2014</v>
      </c>
      <c r="H1" s="69">
        <v>2015</v>
      </c>
      <c r="I1" s="69">
        <v>2016</v>
      </c>
      <c r="J1" s="117">
        <v>2017</v>
      </c>
      <c r="K1" s="144" t="s">
        <v>275</v>
      </c>
      <c r="L1" s="145" t="s">
        <v>276</v>
      </c>
      <c r="M1" s="145" t="s">
        <v>277</v>
      </c>
      <c r="N1" s="145" t="s">
        <v>278</v>
      </c>
      <c r="O1" s="145" t="s">
        <v>279</v>
      </c>
      <c r="P1" s="145" t="s">
        <v>280</v>
      </c>
    </row>
    <row r="2" spans="2:24" x14ac:dyDescent="0.25">
      <c r="B2" s="71" t="s">
        <v>281</v>
      </c>
      <c r="C2" s="72">
        <v>9286</v>
      </c>
      <c r="D2" s="72">
        <v>12491</v>
      </c>
      <c r="E2" s="72">
        <v>18006</v>
      </c>
      <c r="F2" s="72">
        <v>24977</v>
      </c>
      <c r="G2" s="72">
        <v>29967</v>
      </c>
      <c r="H2" s="73">
        <v>35327</v>
      </c>
      <c r="I2" s="73">
        <v>42826</v>
      </c>
      <c r="J2" s="118">
        <v>54583</v>
      </c>
      <c r="K2" s="116">
        <f>J2*(1+K3)</f>
        <v>65499.6</v>
      </c>
      <c r="L2" s="101">
        <f t="shared" ref="L2:P2" si="0">K2*(1+L3)</f>
        <v>78599.51999999999</v>
      </c>
      <c r="M2" s="101">
        <f t="shared" si="0"/>
        <v>94319.423999999985</v>
      </c>
      <c r="N2" s="101">
        <f t="shared" si="0"/>
        <v>113183.30879999998</v>
      </c>
      <c r="O2" s="101">
        <f t="shared" si="0"/>
        <v>135819.97055999999</v>
      </c>
      <c r="P2" s="101">
        <f t="shared" si="0"/>
        <v>162983.96467199997</v>
      </c>
      <c r="Q2" s="77"/>
      <c r="S2" s="285" t="s">
        <v>5</v>
      </c>
      <c r="T2" s="285" t="s">
        <v>275</v>
      </c>
      <c r="U2" s="285" t="s">
        <v>276</v>
      </c>
      <c r="V2" s="285" t="s">
        <v>277</v>
      </c>
      <c r="W2" s="285" t="s">
        <v>278</v>
      </c>
      <c r="X2" s="285" t="s">
        <v>279</v>
      </c>
    </row>
    <row r="3" spans="2:24" x14ac:dyDescent="0.25">
      <c r="B3" s="71" t="s">
        <v>438</v>
      </c>
      <c r="C3" s="72"/>
      <c r="D3" s="94">
        <f>(D2/C2)-1</f>
        <v>0.3451432263622658</v>
      </c>
      <c r="E3" s="94">
        <f t="shared" ref="E3:J3" si="1">(E2/D2)-1</f>
        <v>0.44151789288287557</v>
      </c>
      <c r="F3" s="94">
        <f t="shared" si="1"/>
        <v>0.38714872820171053</v>
      </c>
      <c r="G3" s="94">
        <f t="shared" si="1"/>
        <v>0.19978380109700922</v>
      </c>
      <c r="H3" s="94">
        <f t="shared" si="1"/>
        <v>0.1788634164247338</v>
      </c>
      <c r="I3" s="94">
        <f t="shared" si="1"/>
        <v>0.21227389815155551</v>
      </c>
      <c r="J3" s="131">
        <f t="shared" si="1"/>
        <v>0.27452949143043948</v>
      </c>
      <c r="K3" s="135">
        <v>0.2</v>
      </c>
      <c r="L3" s="102">
        <v>0.2</v>
      </c>
      <c r="M3" s="102">
        <v>0.2</v>
      </c>
      <c r="N3" s="102">
        <v>0.2</v>
      </c>
      <c r="O3" s="102">
        <v>0.2</v>
      </c>
      <c r="P3" s="102">
        <v>0.2</v>
      </c>
      <c r="Q3" s="93"/>
      <c r="S3" s="284" t="s">
        <v>282</v>
      </c>
      <c r="T3" s="286">
        <v>55019.663999999997</v>
      </c>
      <c r="U3" s="286">
        <v>65237.601599999987</v>
      </c>
      <c r="V3" s="286">
        <v>77341.927679999979</v>
      </c>
      <c r="W3" s="286">
        <v>91678.480127999981</v>
      </c>
      <c r="X3" s="286">
        <v>108655.97644799999</v>
      </c>
    </row>
    <row r="4" spans="2:24" x14ac:dyDescent="0.25">
      <c r="B4" s="74" t="s">
        <v>282</v>
      </c>
      <c r="C4" s="75">
        <v>7429</v>
      </c>
      <c r="D4" s="75">
        <v>10634</v>
      </c>
      <c r="E4" s="75">
        <v>14826</v>
      </c>
      <c r="F4" s="75">
        <v>20260</v>
      </c>
      <c r="G4" s="75">
        <v>23136</v>
      </c>
      <c r="H4" s="76">
        <v>28177</v>
      </c>
      <c r="I4" s="76">
        <v>35968</v>
      </c>
      <c r="J4" s="139">
        <v>46288</v>
      </c>
      <c r="K4" s="136">
        <f>K2*K5</f>
        <v>55674.659999999996</v>
      </c>
      <c r="L4" s="103">
        <f t="shared" ref="L4:P4" si="2">L2*L5</f>
        <v>66809.59199999999</v>
      </c>
      <c r="M4" s="103">
        <f t="shared" si="2"/>
        <v>80171.510399999985</v>
      </c>
      <c r="N4" s="103">
        <f t="shared" si="2"/>
        <v>96205.812479999979</v>
      </c>
      <c r="O4" s="103">
        <f t="shared" si="2"/>
        <v>115446.97497599998</v>
      </c>
      <c r="P4" s="103">
        <f t="shared" si="2"/>
        <v>138536.36997119998</v>
      </c>
      <c r="S4" s="284" t="s">
        <v>281</v>
      </c>
      <c r="T4" s="286">
        <v>65499.6</v>
      </c>
      <c r="U4" s="286">
        <v>78599.51999999999</v>
      </c>
      <c r="V4" s="286">
        <v>94319.423999999985</v>
      </c>
      <c r="W4" s="286">
        <v>113183.30879999998</v>
      </c>
      <c r="X4" s="286">
        <v>135819.97055999999</v>
      </c>
    </row>
    <row r="5" spans="2:24" x14ac:dyDescent="0.25">
      <c r="B5" s="74" t="s">
        <v>283</v>
      </c>
      <c r="C5" s="78">
        <v>0.8</v>
      </c>
      <c r="D5" s="78">
        <v>0.85099999999999998</v>
      </c>
      <c r="E5" s="78">
        <v>0.82299999999999995</v>
      </c>
      <c r="F5" s="78">
        <v>0.81100000000000005</v>
      </c>
      <c r="G5" s="78">
        <v>0.77200000000000002</v>
      </c>
      <c r="H5" s="78">
        <v>0.79800000000000004</v>
      </c>
      <c r="I5" s="78">
        <v>0.84</v>
      </c>
      <c r="J5" s="140">
        <v>0.84799999999999998</v>
      </c>
      <c r="K5" s="137">
        <v>0.85</v>
      </c>
      <c r="L5" s="108">
        <f>K5</f>
        <v>0.85</v>
      </c>
      <c r="M5" s="108">
        <f t="shared" ref="M5:P5" si="3">L5</f>
        <v>0.85</v>
      </c>
      <c r="N5" s="108">
        <f t="shared" si="3"/>
        <v>0.85</v>
      </c>
      <c r="O5" s="108">
        <f t="shared" si="3"/>
        <v>0.85</v>
      </c>
      <c r="P5" s="108">
        <f t="shared" si="3"/>
        <v>0.85</v>
      </c>
      <c r="S5" s="284" t="s">
        <v>283</v>
      </c>
      <c r="T5" s="287">
        <v>0.84</v>
      </c>
      <c r="U5" s="287">
        <v>0.83</v>
      </c>
      <c r="V5" s="287">
        <v>0.82</v>
      </c>
      <c r="W5" s="287">
        <v>0.80999999999999994</v>
      </c>
      <c r="X5" s="287">
        <v>0.79999999999999993</v>
      </c>
    </row>
    <row r="6" spans="2:24" x14ac:dyDescent="0.25">
      <c r="B6" s="74" t="s">
        <v>284</v>
      </c>
      <c r="C6" s="75">
        <v>2.84</v>
      </c>
      <c r="D6" s="75">
        <v>3.1</v>
      </c>
      <c r="E6" s="75">
        <v>3.1</v>
      </c>
      <c r="F6" s="75">
        <v>3.7</v>
      </c>
      <c r="G6" s="75">
        <v>3.72</v>
      </c>
      <c r="H6" s="75">
        <v>3.95</v>
      </c>
      <c r="I6" s="75">
        <v>3.78</v>
      </c>
      <c r="J6" s="133">
        <v>3.44</v>
      </c>
      <c r="K6" s="138">
        <f t="shared" ref="K6:P6" si="4">K24/K2</f>
        <v>3.3149999999999995</v>
      </c>
      <c r="L6" s="110">
        <f t="shared" si="4"/>
        <v>3.3149999999999999</v>
      </c>
      <c r="M6" s="110">
        <f t="shared" si="4"/>
        <v>3.3149999999999995</v>
      </c>
      <c r="N6" s="110">
        <f t="shared" si="4"/>
        <v>3.3149999999999995</v>
      </c>
      <c r="O6" s="110">
        <f t="shared" si="4"/>
        <v>3.3149999999999999</v>
      </c>
      <c r="P6" s="110">
        <f t="shared" si="4"/>
        <v>3.3149999999999999</v>
      </c>
      <c r="S6" s="284" t="s">
        <v>284</v>
      </c>
      <c r="T6" s="288">
        <v>3.0233234704459035</v>
      </c>
      <c r="U6" s="288">
        <v>3.0703315243691667</v>
      </c>
      <c r="V6" s="288">
        <v>3.11533957829243</v>
      </c>
      <c r="W6" s="288">
        <v>3.1583476322156931</v>
      </c>
      <c r="X6" s="288">
        <v>3.1993556861389565</v>
      </c>
    </row>
    <row r="7" spans="2:24" x14ac:dyDescent="0.25">
      <c r="B7" s="95" t="s">
        <v>285</v>
      </c>
      <c r="C7" s="92">
        <f t="shared" ref="C7:J7" si="5">C24/C4</f>
        <v>3.1309584062457936</v>
      </c>
      <c r="D7" s="92">
        <f t="shared" si="5"/>
        <v>3.188815121309009</v>
      </c>
      <c r="E7" s="92">
        <f t="shared" si="5"/>
        <v>3.3638904627006609</v>
      </c>
      <c r="F7" s="92">
        <f t="shared" si="5"/>
        <v>4.0802847976308003</v>
      </c>
      <c r="G7" s="92">
        <f t="shared" si="5"/>
        <v>4.2894117392807747</v>
      </c>
      <c r="H7" s="92">
        <f t="shared" si="5"/>
        <v>4.3630975618412178</v>
      </c>
      <c r="I7" s="92">
        <f t="shared" si="5"/>
        <v>3.9097036254448398</v>
      </c>
      <c r="J7" s="141">
        <f t="shared" si="5"/>
        <v>3.4991946076736951</v>
      </c>
      <c r="K7" s="138">
        <v>3.9</v>
      </c>
      <c r="L7" s="110">
        <f>K7</f>
        <v>3.9</v>
      </c>
      <c r="M7" s="110">
        <f t="shared" ref="M7:P7" si="6">L7</f>
        <v>3.9</v>
      </c>
      <c r="N7" s="110">
        <f t="shared" si="6"/>
        <v>3.9</v>
      </c>
      <c r="O7" s="110">
        <f t="shared" si="6"/>
        <v>3.9</v>
      </c>
      <c r="P7" s="110">
        <f t="shared" si="6"/>
        <v>3.9</v>
      </c>
      <c r="S7" s="284" t="s">
        <v>430</v>
      </c>
      <c r="T7" s="288">
        <v>3.5991946076736951</v>
      </c>
      <c r="U7" s="288">
        <v>3.6991946076736952</v>
      </c>
      <c r="V7" s="288">
        <v>3.7991946076736953</v>
      </c>
      <c r="W7" s="288">
        <v>3.8991946076736954</v>
      </c>
      <c r="X7" s="288">
        <v>3.9991946076736955</v>
      </c>
    </row>
    <row r="8" spans="2:24" x14ac:dyDescent="0.25">
      <c r="B8" s="74" t="s">
        <v>305</v>
      </c>
      <c r="C8" s="154">
        <v>93487</v>
      </c>
      <c r="D8" s="75">
        <v>125553</v>
      </c>
      <c r="E8" s="75">
        <v>179252</v>
      </c>
      <c r="F8" s="75">
        <v>246140</v>
      </c>
      <c r="G8" s="75">
        <v>297653</v>
      </c>
      <c r="H8" s="75">
        <v>354276</v>
      </c>
      <c r="I8" s="75">
        <v>436739</v>
      </c>
      <c r="J8" s="133">
        <v>558567</v>
      </c>
      <c r="K8" s="120">
        <f>'Cost Matrix'!K7</f>
        <v>669154.5</v>
      </c>
      <c r="L8" s="120">
        <f>'Cost Matrix'!L7</f>
        <v>742717.11417391303</v>
      </c>
      <c r="M8" s="120">
        <f>'Cost Matrix'!M7</f>
        <v>823244.53773913009</v>
      </c>
      <c r="N8" s="120">
        <f>'Cost Matrix'!N7</f>
        <v>963196.10915478226</v>
      </c>
      <c r="O8" s="120">
        <f>'Cost Matrix'!O7</f>
        <v>1126198.52762713</v>
      </c>
      <c r="P8" s="120"/>
      <c r="S8" s="284" t="s">
        <v>431</v>
      </c>
      <c r="T8" s="286">
        <v>198026.47798481851</v>
      </c>
      <c r="U8" s="286">
        <v>241326.58405628477</v>
      </c>
      <c r="V8" s="286">
        <v>293837.03458894487</v>
      </c>
      <c r="W8" s="286">
        <v>357472.23535481759</v>
      </c>
      <c r="X8" s="286">
        <v>434536.39510236162</v>
      </c>
    </row>
    <row r="9" spans="2:24" x14ac:dyDescent="0.25">
      <c r="B9" s="74" t="s">
        <v>310</v>
      </c>
      <c r="C9" s="113">
        <f>C8/C17</f>
        <v>3739.48</v>
      </c>
      <c r="D9" s="80">
        <f t="shared" ref="D9:J9" si="7">D8/AVERAGE(C17:D17)</f>
        <v>3923.53125</v>
      </c>
      <c r="E9" s="80">
        <f t="shared" si="7"/>
        <v>3813.872340425532</v>
      </c>
      <c r="F9" s="80">
        <f t="shared" si="7"/>
        <v>4068.4297520661157</v>
      </c>
      <c r="G9" s="80">
        <f t="shared" si="7"/>
        <v>4162.9790209790208</v>
      </c>
      <c r="H9" s="80">
        <f t="shared" si="7"/>
        <v>4143.5789473684208</v>
      </c>
      <c r="I9" s="80">
        <f t="shared" si="7"/>
        <v>4345.6616915422883</v>
      </c>
      <c r="J9" s="124">
        <f t="shared" si="7"/>
        <v>4693.8403361344535</v>
      </c>
      <c r="K9" s="120">
        <f>'Cost Matrix'!K9</f>
        <v>4599</v>
      </c>
      <c r="L9" s="120">
        <f>'Cost Matrix'!L9</f>
        <v>4489.5</v>
      </c>
      <c r="M9" s="120">
        <f>'Cost Matrix'!M9</f>
        <v>4379.9999999999991</v>
      </c>
      <c r="N9" s="120">
        <f>'Cost Matrix'!N9</f>
        <v>4270.4999999999991</v>
      </c>
      <c r="O9" s="120">
        <f>'Cost Matrix'!O9</f>
        <v>4160.9999999999991</v>
      </c>
      <c r="P9" s="120"/>
    </row>
    <row r="10" spans="2:24" x14ac:dyDescent="0.25">
      <c r="B10" s="74"/>
      <c r="C10" s="155">
        <f>(J9/C9)^(1/7)-1</f>
        <v>3.3005045051976989E-2</v>
      </c>
      <c r="D10" s="153">
        <f t="shared" ref="D10:I10" si="8">D9/C9-1</f>
        <v>4.9218407372147999E-2</v>
      </c>
      <c r="E10" s="153">
        <f t="shared" si="8"/>
        <v>-2.7949034323217936E-2</v>
      </c>
      <c r="F10" s="153">
        <f t="shared" si="8"/>
        <v>6.674513169787466E-2</v>
      </c>
      <c r="G10" s="153">
        <f t="shared" si="8"/>
        <v>2.3239744735641388E-2</v>
      </c>
      <c r="H10" s="153">
        <f t="shared" si="8"/>
        <v>-4.66014205520493E-3</v>
      </c>
      <c r="I10" s="153">
        <f t="shared" si="8"/>
        <v>4.8770096272018559E-2</v>
      </c>
      <c r="J10" s="140">
        <f>J9/I9-1</f>
        <v>8.0120973353679403E-2</v>
      </c>
      <c r="K10" s="119"/>
      <c r="L10" s="109"/>
      <c r="M10" s="109"/>
      <c r="N10" s="109"/>
      <c r="O10" s="109"/>
      <c r="P10" s="109"/>
    </row>
    <row r="11" spans="2:24" x14ac:dyDescent="0.25">
      <c r="B11" s="74" t="s">
        <v>284</v>
      </c>
      <c r="C11" s="74"/>
      <c r="D11" s="225">
        <f>'Income statement'!D9/'Assumptions Sheet'!C2</f>
        <v>4.2474230023691577</v>
      </c>
      <c r="E11" s="225">
        <f>'Income statement'!E9/'Assumptions Sheet'!D2</f>
        <v>4.5701865343046988</v>
      </c>
      <c r="F11" s="225">
        <f>'Income statement'!F9/'Assumptions Sheet'!E2</f>
        <v>5.2428268354992777</v>
      </c>
      <c r="G11" s="225">
        <f>'Income statement'!G9/'Assumptions Sheet'!F2</f>
        <v>4.5770580934459701</v>
      </c>
      <c r="H11" s="225">
        <f>'Income statement'!H9/'Assumptions Sheet'!G2</f>
        <v>4.7785627523609291</v>
      </c>
      <c r="I11" s="225">
        <f>'Income statement'!I9/'Assumptions Sheet'!H2</f>
        <v>4.6993240297789223</v>
      </c>
      <c r="J11" s="225">
        <f>'Income statement'!J9/'Assumptions Sheet'!I2</f>
        <v>4.5228529398029238</v>
      </c>
      <c r="K11" s="225">
        <f>'Income statement'!K9/'Assumptions Sheet'!J2</f>
        <v>4.6654183136365379</v>
      </c>
      <c r="L11" s="225">
        <f>'Income statement'!L9/'Assumptions Sheet'!K2</f>
        <v>4.6678051136365379</v>
      </c>
      <c r="M11" s="225">
        <f>'Income statement'!M9/'Assumptions Sheet'!L2</f>
        <v>4.6503019136365369</v>
      </c>
      <c r="N11" s="225">
        <f>'Income statement'!N9/'Assumptions Sheet'!M2</f>
        <v>4.6327987136365385</v>
      </c>
      <c r="O11" s="225">
        <f>'Income statement'!O9/'Assumptions Sheet'!N2</f>
        <v>4.6351855136365385</v>
      </c>
      <c r="P11" s="155"/>
      <c r="Q11" s="155">
        <f>'Income statement'!Q9/'Assumptions Sheet'!P2</f>
        <v>0</v>
      </c>
    </row>
    <row r="12" spans="2:24" x14ac:dyDescent="0.25">
      <c r="B12" s="74" t="s">
        <v>286</v>
      </c>
      <c r="C12" s="75">
        <v>2.2999999999999998</v>
      </c>
      <c r="D12" s="75">
        <v>2.5299999999999998</v>
      </c>
      <c r="E12" s="75">
        <v>3.06</v>
      </c>
      <c r="F12" s="75">
        <v>3.3</v>
      </c>
      <c r="G12" s="75">
        <v>3.56</v>
      </c>
      <c r="H12" s="75">
        <v>3.42</v>
      </c>
      <c r="I12" s="75">
        <v>3.12</v>
      </c>
      <c r="J12" s="133">
        <v>3.04</v>
      </c>
      <c r="K12" s="138">
        <f>SUM('Income statement'!K14,'Income statement'!K16,'Income statement'!K20)/K2</f>
        <v>3.0477654548930295</v>
      </c>
      <c r="L12" s="138">
        <f>SUM('Income statement'!L14,'Income statement'!L16,'Income statement'!L20)/L2</f>
        <v>3.0996141400524642</v>
      </c>
      <c r="M12" s="138">
        <f>SUM('Income statement'!M14,'Income statement'!M16,'Income statement'!M20)/M2</f>
        <v>3.0714851551744839</v>
      </c>
      <c r="N12" s="138">
        <f>SUM('Income statement'!N14,'Income statement'!N16,'Income statement'!N20)/N2</f>
        <v>3.0659085288484831</v>
      </c>
      <c r="O12" s="138">
        <f>SUM('Income statement'!O14,'Income statement'!O16,'Income statement'!O20)/O2</f>
        <v>3.0720338528087572</v>
      </c>
      <c r="P12" s="138"/>
    </row>
    <row r="13" spans="2:24" x14ac:dyDescent="0.25">
      <c r="B13" s="74" t="s">
        <v>381</v>
      </c>
      <c r="C13" s="75"/>
      <c r="D13" s="92">
        <f>D11-D12</f>
        <v>1.7174230023691579</v>
      </c>
      <c r="E13" s="92">
        <f t="shared" ref="E13:O13" si="9">E11-E12</f>
        <v>1.5101865343046987</v>
      </c>
      <c r="F13" s="92">
        <f t="shared" si="9"/>
        <v>1.9428268354992779</v>
      </c>
      <c r="G13" s="92">
        <f t="shared" si="9"/>
        <v>1.0170580934459701</v>
      </c>
      <c r="H13" s="92">
        <f t="shared" si="9"/>
        <v>1.3585627523609292</v>
      </c>
      <c r="I13" s="92">
        <f t="shared" si="9"/>
        <v>1.5793240297789222</v>
      </c>
      <c r="J13" s="92">
        <f t="shared" si="9"/>
        <v>1.4828529398029238</v>
      </c>
      <c r="K13" s="92">
        <f t="shared" si="9"/>
        <v>1.6176528587435084</v>
      </c>
      <c r="L13" s="92">
        <f t="shared" si="9"/>
        <v>1.5681909735840738</v>
      </c>
      <c r="M13" s="92">
        <f t="shared" si="9"/>
        <v>1.5788167584620529</v>
      </c>
      <c r="N13" s="92">
        <f t="shared" si="9"/>
        <v>1.5668901847880554</v>
      </c>
      <c r="O13" s="92">
        <f t="shared" si="9"/>
        <v>1.5631516608277813</v>
      </c>
      <c r="P13" s="92"/>
    </row>
    <row r="14" spans="2:24" x14ac:dyDescent="0.25">
      <c r="B14" s="74" t="s">
        <v>287</v>
      </c>
      <c r="C14" s="75"/>
      <c r="D14" s="92">
        <f>SUM('Income statement'!D14,'Income statement'!D20)/D2</f>
        <v>1.2810983908414058</v>
      </c>
      <c r="E14" s="92">
        <f>SUM('Income statement'!E14,'Income statement'!E20)/E2</f>
        <v>1.467385871376208</v>
      </c>
      <c r="F14" s="92">
        <f>SUM('Income statement'!F14,'Income statement'!F20)/F2</f>
        <v>1.6002198022180407</v>
      </c>
      <c r="G14" s="92">
        <f>SUM('Income statement'!G14,'Income statement'!G20)/G2</f>
        <v>1.7013000967731171</v>
      </c>
      <c r="H14" s="75">
        <v>1.8</v>
      </c>
      <c r="I14" s="75">
        <v>2.0099999999999998</v>
      </c>
      <c r="J14" s="133">
        <v>1.88</v>
      </c>
      <c r="K14" s="138">
        <f>SUM('Income statement'!K14,'Income statement'!K20)/K2</f>
        <v>1.703522589599856</v>
      </c>
      <c r="L14" s="138">
        <f>SUM('Income statement'!L14,'Income statement'!L20)/L2</f>
        <v>1.711182952305208</v>
      </c>
      <c r="M14" s="138">
        <f>SUM('Income statement'!M14,'Income statement'!M20)/M2</f>
        <v>1.7608010106683467</v>
      </c>
      <c r="N14" s="138">
        <f>SUM('Income statement'!N14,'Income statement'!N20)/N2</f>
        <v>1.7540809675405395</v>
      </c>
      <c r="O14" s="138">
        <f>SUM('Income statement'!O14,'Income statement'!O20)/O2</f>
        <v>1.7610411589315951</v>
      </c>
      <c r="P14" s="109"/>
    </row>
    <row r="15" spans="2:24" ht="33" customHeight="1" x14ac:dyDescent="0.25">
      <c r="B15" s="79" t="s">
        <v>288</v>
      </c>
      <c r="C15" s="98">
        <v>45337263</v>
      </c>
      <c r="D15" s="98">
        <v>53842538</v>
      </c>
      <c r="E15" s="98">
        <v>60837455</v>
      </c>
      <c r="F15" s="98">
        <v>57647250</v>
      </c>
      <c r="G15" s="98">
        <v>60668409</v>
      </c>
      <c r="H15" s="98">
        <v>70083961</v>
      </c>
      <c r="I15" s="98">
        <v>85197675</v>
      </c>
      <c r="J15" s="142">
        <v>103748598</v>
      </c>
      <c r="K15" s="253">
        <f>J15*(1+K16)</f>
        <v>117235915.73999999</v>
      </c>
      <c r="L15" s="253">
        <f t="shared" ref="L15:O15" si="10">K15*(1+L16)</f>
        <v>133648943.94360001</v>
      </c>
      <c r="M15" s="253">
        <f t="shared" si="10"/>
        <v>152359796.09570402</v>
      </c>
      <c r="N15" s="253">
        <f t="shared" si="10"/>
        <v>175213765.5100596</v>
      </c>
      <c r="O15" s="253">
        <f t="shared" si="10"/>
        <v>201495830.3365685</v>
      </c>
      <c r="P15" s="109"/>
    </row>
    <row r="16" spans="2:24" ht="18.75" customHeight="1" x14ac:dyDescent="0.25">
      <c r="B16" s="79" t="s">
        <v>304</v>
      </c>
      <c r="C16" s="98"/>
      <c r="D16" s="99">
        <f>D15/C15-1</f>
        <v>0.1876000984002939</v>
      </c>
      <c r="E16" s="99">
        <f t="shared" ref="E16:J16" si="11">E15/D15-1</f>
        <v>0.12991432536111125</v>
      </c>
      <c r="F16" s="99">
        <f t="shared" si="11"/>
        <v>-5.2438173161582724E-2</v>
      </c>
      <c r="G16" s="99">
        <f t="shared" si="11"/>
        <v>5.2407686403080911E-2</v>
      </c>
      <c r="H16" s="99">
        <f t="shared" si="11"/>
        <v>0.15519694937112982</v>
      </c>
      <c r="I16" s="99">
        <f t="shared" si="11"/>
        <v>0.21565153830275086</v>
      </c>
      <c r="J16" s="143">
        <f t="shared" si="11"/>
        <v>0.21773977987075344</v>
      </c>
      <c r="K16" s="252">
        <v>0.13</v>
      </c>
      <c r="L16" s="111">
        <v>0.14000000000000001</v>
      </c>
      <c r="M16" s="111">
        <v>0.14000000000000001</v>
      </c>
      <c r="N16" s="111">
        <v>0.15</v>
      </c>
      <c r="O16" s="111">
        <v>0.15</v>
      </c>
      <c r="P16" s="109"/>
    </row>
    <row r="17" spans="2:17" ht="18.75" customHeight="1" x14ac:dyDescent="0.25">
      <c r="B17" s="71" t="s">
        <v>293</v>
      </c>
      <c r="C17" s="83">
        <v>25</v>
      </c>
      <c r="D17" s="83">
        <v>39</v>
      </c>
      <c r="E17" s="83">
        <v>55</v>
      </c>
      <c r="F17" s="83">
        <v>66</v>
      </c>
      <c r="G17" s="83">
        <v>77</v>
      </c>
      <c r="H17" s="84">
        <v>94</v>
      </c>
      <c r="I17" s="83">
        <v>107</v>
      </c>
      <c r="J17" s="129">
        <v>131</v>
      </c>
      <c r="K17" s="121">
        <v>160</v>
      </c>
      <c r="L17" s="104">
        <f>L2/L20</f>
        <v>170.86852173913041</v>
      </c>
      <c r="M17" s="104">
        <f>M2/M20</f>
        <v>205.04222608695648</v>
      </c>
      <c r="N17" s="104">
        <f>N2/N20</f>
        <v>246.05067130434779</v>
      </c>
      <c r="O17" s="104">
        <f>O2/O20</f>
        <v>295.26080556521737</v>
      </c>
      <c r="P17" s="104">
        <f>P2/P20</f>
        <v>354.31296667826081</v>
      </c>
    </row>
    <row r="18" spans="2:17" x14ac:dyDescent="0.25">
      <c r="B18" s="74"/>
      <c r="C18" s="86"/>
      <c r="D18" s="86">
        <f>D17-C17</f>
        <v>14</v>
      </c>
      <c r="E18" s="86">
        <f t="shared" ref="E18:P18" si="12">E17-D17</f>
        <v>16</v>
      </c>
      <c r="F18" s="86">
        <f t="shared" si="12"/>
        <v>11</v>
      </c>
      <c r="G18" s="86">
        <f t="shared" si="12"/>
        <v>11</v>
      </c>
      <c r="H18" s="86">
        <f t="shared" si="12"/>
        <v>17</v>
      </c>
      <c r="I18" s="86">
        <f t="shared" si="12"/>
        <v>13</v>
      </c>
      <c r="J18" s="130">
        <f t="shared" si="12"/>
        <v>24</v>
      </c>
      <c r="K18" s="122">
        <f t="shared" si="12"/>
        <v>29</v>
      </c>
      <c r="L18" s="105">
        <f t="shared" si="12"/>
        <v>10.868521739130415</v>
      </c>
      <c r="M18" s="105">
        <f t="shared" si="12"/>
        <v>34.17370434782606</v>
      </c>
      <c r="N18" s="105">
        <f t="shared" si="12"/>
        <v>41.008445217391312</v>
      </c>
      <c r="O18" s="105">
        <f t="shared" si="12"/>
        <v>49.21013426086958</v>
      </c>
      <c r="P18" s="105">
        <f t="shared" si="12"/>
        <v>59.052161113043439</v>
      </c>
    </row>
    <row r="19" spans="2:17" x14ac:dyDescent="0.25">
      <c r="B19" s="74"/>
      <c r="C19" s="75">
        <f>C20*(1+J21)^7</f>
        <v>371.44</v>
      </c>
      <c r="D19" s="88">
        <f>D18/C17</f>
        <v>0.56000000000000005</v>
      </c>
      <c r="E19" s="88">
        <f t="shared" ref="E19:P19" si="13">E18/D17</f>
        <v>0.41025641025641024</v>
      </c>
      <c r="F19" s="88">
        <f t="shared" si="13"/>
        <v>0.2</v>
      </c>
      <c r="G19" s="88">
        <f t="shared" si="13"/>
        <v>0.16666666666666666</v>
      </c>
      <c r="H19" s="88">
        <f t="shared" si="13"/>
        <v>0.22077922077922077</v>
      </c>
      <c r="I19" s="88">
        <f t="shared" si="13"/>
        <v>0.13829787234042554</v>
      </c>
      <c r="J19" s="131">
        <f t="shared" si="13"/>
        <v>0.22429906542056074</v>
      </c>
      <c r="K19" s="123">
        <f t="shared" si="13"/>
        <v>0.22137404580152673</v>
      </c>
      <c r="L19" s="106">
        <f t="shared" si="13"/>
        <v>6.7928260869565091E-2</v>
      </c>
      <c r="M19" s="106">
        <f t="shared" si="13"/>
        <v>0.19999999999999987</v>
      </c>
      <c r="N19" s="106">
        <f t="shared" si="13"/>
        <v>0.20000000000000009</v>
      </c>
      <c r="O19" s="106">
        <f t="shared" si="13"/>
        <v>0.20000000000000009</v>
      </c>
      <c r="P19" s="106">
        <f t="shared" si="13"/>
        <v>0.19999999999999987</v>
      </c>
    </row>
    <row r="20" spans="2:17" x14ac:dyDescent="0.25">
      <c r="B20" s="74" t="s">
        <v>294</v>
      </c>
      <c r="C20" s="87">
        <f>C2/C17</f>
        <v>371.44</v>
      </c>
      <c r="D20" s="87">
        <f>D2/D17</f>
        <v>320.28205128205127</v>
      </c>
      <c r="E20" s="87">
        <f>'Revenue Matrix'!E15</f>
        <v>383.10638297872339</v>
      </c>
      <c r="F20" s="87">
        <f>'Revenue Matrix'!F15</f>
        <v>412.84297520661158</v>
      </c>
      <c r="G20" s="87">
        <f>'Revenue Matrix'!G15</f>
        <v>419.11888111888112</v>
      </c>
      <c r="H20" s="87">
        <f>'Revenue Matrix'!H15</f>
        <v>413.18128654970758</v>
      </c>
      <c r="I20" s="87">
        <f>'Revenue Matrix'!I15</f>
        <v>426.12935323383084</v>
      </c>
      <c r="J20" s="130">
        <f>'Revenue Matrix'!J15</f>
        <v>458.68067226890759</v>
      </c>
      <c r="K20" s="120">
        <v>460</v>
      </c>
      <c r="L20" s="107">
        <f>K20</f>
        <v>460</v>
      </c>
      <c r="M20" s="107">
        <f>L20</f>
        <v>460</v>
      </c>
      <c r="N20" s="289">
        <f t="shared" ref="N20:P20" si="14">M20</f>
        <v>460</v>
      </c>
      <c r="O20" s="289">
        <f t="shared" si="14"/>
        <v>460</v>
      </c>
      <c r="P20" s="289">
        <f t="shared" si="14"/>
        <v>460</v>
      </c>
    </row>
    <row r="21" spans="2:17" x14ac:dyDescent="0.25">
      <c r="B21" s="74" t="s">
        <v>295</v>
      </c>
      <c r="C21" s="76">
        <v>3548</v>
      </c>
      <c r="D21" s="76">
        <v>3582</v>
      </c>
      <c r="E21" s="76">
        <v>3911</v>
      </c>
      <c r="F21" s="76">
        <v>4895</v>
      </c>
      <c r="G21" s="76">
        <v>5071</v>
      </c>
      <c r="H21" s="75">
        <v>4882</v>
      </c>
      <c r="I21" s="75">
        <v>4248</v>
      </c>
      <c r="J21" s="132"/>
      <c r="K21" s="123"/>
      <c r="L21" s="123"/>
      <c r="M21" s="123"/>
      <c r="N21" s="123"/>
      <c r="O21" s="123"/>
      <c r="P21" s="123"/>
    </row>
    <row r="22" spans="2:17" x14ac:dyDescent="0.25">
      <c r="B22" s="79"/>
      <c r="C22" s="114"/>
      <c r="D22" s="114"/>
      <c r="E22" s="114"/>
      <c r="F22" s="114"/>
      <c r="G22" s="114"/>
      <c r="H22" s="114"/>
      <c r="I22" s="114"/>
      <c r="J22" s="125"/>
      <c r="K22" s="119"/>
      <c r="L22" s="109"/>
      <c r="M22" s="109"/>
      <c r="N22" s="109"/>
      <c r="O22" s="109"/>
      <c r="P22" s="109"/>
    </row>
    <row r="23" spans="2:17" x14ac:dyDescent="0.25">
      <c r="B23" s="74" t="s">
        <v>289</v>
      </c>
      <c r="C23" s="113"/>
      <c r="D23" s="113"/>
      <c r="E23" s="113"/>
      <c r="F23" s="113"/>
      <c r="G23" s="113"/>
      <c r="H23" s="113"/>
      <c r="I23" s="113"/>
      <c r="J23" s="126"/>
      <c r="K23" s="119"/>
      <c r="L23" s="109"/>
      <c r="M23" s="109"/>
      <c r="N23" s="109"/>
      <c r="O23" s="109"/>
      <c r="P23" s="109"/>
    </row>
    <row r="24" spans="2:17" x14ac:dyDescent="0.25">
      <c r="B24" s="74" t="s">
        <v>290</v>
      </c>
      <c r="C24" s="76">
        <v>23259.89</v>
      </c>
      <c r="D24" s="76">
        <v>33909.86</v>
      </c>
      <c r="E24" s="76">
        <v>49873.04</v>
      </c>
      <c r="F24" s="76">
        <v>82666.570000000007</v>
      </c>
      <c r="G24" s="76">
        <v>99239.83</v>
      </c>
      <c r="H24" s="75">
        <v>122939</v>
      </c>
      <c r="I24" s="76">
        <v>140624.22</v>
      </c>
      <c r="J24" s="124">
        <v>161970.72</v>
      </c>
      <c r="K24" s="120">
        <f>K7*K4</f>
        <v>217131.17399999997</v>
      </c>
      <c r="L24" s="107">
        <f t="shared" ref="L24:P24" si="15">L7*L4</f>
        <v>260557.40879999995</v>
      </c>
      <c r="M24" s="107">
        <f t="shared" si="15"/>
        <v>312668.89055999991</v>
      </c>
      <c r="N24" s="107">
        <f t="shared" si="15"/>
        <v>375202.66867199988</v>
      </c>
      <c r="O24" s="107">
        <f t="shared" si="15"/>
        <v>450243.20240639994</v>
      </c>
      <c r="P24" s="107">
        <f t="shared" si="15"/>
        <v>540291.84288767993</v>
      </c>
      <c r="Q24" s="148"/>
    </row>
    <row r="25" spans="2:17" x14ac:dyDescent="0.25">
      <c r="B25" s="74"/>
      <c r="C25" s="100"/>
      <c r="D25" s="100"/>
      <c r="E25" s="100"/>
      <c r="F25" s="100"/>
      <c r="G25" s="100"/>
      <c r="H25" s="100"/>
      <c r="I25" s="100"/>
      <c r="J25" s="127"/>
      <c r="K25" s="120"/>
      <c r="L25" s="107"/>
      <c r="M25" s="107"/>
      <c r="N25" s="107"/>
      <c r="O25" s="107"/>
      <c r="P25" s="107"/>
    </row>
    <row r="26" spans="2:17" x14ac:dyDescent="0.25">
      <c r="B26" s="74" t="s">
        <v>291</v>
      </c>
      <c r="C26" s="76">
        <f>C40</f>
        <v>2765.3500000000004</v>
      </c>
      <c r="D26" s="76">
        <f t="shared" ref="D26:I26" si="16">D40</f>
        <v>4356.6499999999996</v>
      </c>
      <c r="E26" s="76">
        <f t="shared" si="16"/>
        <v>5680.3399999999992</v>
      </c>
      <c r="F26" s="76">
        <f t="shared" si="16"/>
        <v>9253.44</v>
      </c>
      <c r="G26" s="76">
        <f t="shared" si="16"/>
        <v>11553.329999999998</v>
      </c>
      <c r="H26" s="76">
        <f t="shared" si="16"/>
        <v>15724.87</v>
      </c>
      <c r="I26" s="76">
        <f t="shared" si="16"/>
        <v>20019.95</v>
      </c>
      <c r="J26" s="124">
        <v>22667.599999999999</v>
      </c>
      <c r="K26" s="120">
        <f>K27*K24</f>
        <v>29312.708489999997</v>
      </c>
      <c r="L26" s="107">
        <f t="shared" ref="L26:P26" si="17">L27*L24</f>
        <v>35175.250187999998</v>
      </c>
      <c r="M26" s="107">
        <f t="shared" si="17"/>
        <v>40646.955772799993</v>
      </c>
      <c r="N26" s="107">
        <f t="shared" si="17"/>
        <v>46900.333583999985</v>
      </c>
      <c r="O26" s="107">
        <f t="shared" si="17"/>
        <v>56280.400300799993</v>
      </c>
      <c r="P26" s="107">
        <f t="shared" si="17"/>
        <v>67536.480360959991</v>
      </c>
    </row>
    <row r="27" spans="2:17" x14ac:dyDescent="0.25">
      <c r="B27" s="74"/>
      <c r="C27" s="115">
        <f>C26/C$24</f>
        <v>0.11888921228776234</v>
      </c>
      <c r="D27" s="115">
        <f t="shared" ref="D27:J27" si="18">D26/D$24</f>
        <v>0.12847738091516744</v>
      </c>
      <c r="E27" s="115">
        <f t="shared" si="18"/>
        <v>0.11389600473522367</v>
      </c>
      <c r="F27" s="115">
        <f t="shared" si="18"/>
        <v>0.11193690508750997</v>
      </c>
      <c r="G27" s="115">
        <f t="shared" si="18"/>
        <v>0.11641827681486352</v>
      </c>
      <c r="H27" s="115">
        <f t="shared" si="18"/>
        <v>0.12790790554665321</v>
      </c>
      <c r="I27" s="115">
        <f t="shared" si="18"/>
        <v>0.14236487853941518</v>
      </c>
      <c r="J27" s="151">
        <f t="shared" si="18"/>
        <v>0.13994875123108669</v>
      </c>
      <c r="K27" s="149">
        <v>0.13500000000000001</v>
      </c>
      <c r="L27" s="150">
        <v>0.13500000000000001</v>
      </c>
      <c r="M27" s="150">
        <v>0.13</v>
      </c>
      <c r="N27" s="150">
        <v>0.125</v>
      </c>
      <c r="O27" s="150">
        <v>0.125</v>
      </c>
      <c r="P27" s="150">
        <v>0.125</v>
      </c>
    </row>
    <row r="28" spans="2:17" ht="15.75" thickBot="1" x14ac:dyDescent="0.3">
      <c r="B28" s="74" t="s">
        <v>292</v>
      </c>
      <c r="C28" s="80">
        <v>29.57</v>
      </c>
      <c r="D28" s="80">
        <v>67.69</v>
      </c>
      <c r="E28" s="80">
        <v>93.22</v>
      </c>
      <c r="F28" s="80">
        <v>111.29</v>
      </c>
      <c r="G28" s="80">
        <v>372.69</v>
      </c>
      <c r="H28" s="80">
        <v>589.5</v>
      </c>
      <c r="I28" s="80">
        <v>754.9</v>
      </c>
      <c r="J28" s="124">
        <v>1167</v>
      </c>
      <c r="K28" s="120">
        <f>K29*K24</f>
        <v>1694.7101032231944</v>
      </c>
      <c r="L28" s="107">
        <f t="shared" ref="L28:P28" si="19">L29*L24</f>
        <v>2189.9865691478331</v>
      </c>
      <c r="M28" s="107">
        <f t="shared" si="19"/>
        <v>2815.5852173133994</v>
      </c>
      <c r="N28" s="107">
        <f t="shared" si="19"/>
        <v>3603.8238619792792</v>
      </c>
      <c r="O28" s="107">
        <f t="shared" si="19"/>
        <v>4594.7345558189754</v>
      </c>
      <c r="P28" s="107">
        <f t="shared" si="19"/>
        <v>5837.8565727153782</v>
      </c>
      <c r="Q28" s="85">
        <v>0.19</v>
      </c>
    </row>
    <row r="29" spans="2:17" x14ac:dyDescent="0.25">
      <c r="B29" s="112"/>
      <c r="C29" s="115">
        <f>C28/C$24</f>
        <v>1.2712871814956994E-3</v>
      </c>
      <c r="D29" s="115">
        <f t="shared" ref="D29:J29" si="20">D28/D$24</f>
        <v>1.9961745639763772E-3</v>
      </c>
      <c r="E29" s="115">
        <f t="shared" si="20"/>
        <v>1.8691461358681964E-3</v>
      </c>
      <c r="F29" s="115">
        <f t="shared" si="20"/>
        <v>1.3462515742457923E-3</v>
      </c>
      <c r="G29" s="115">
        <f t="shared" si="20"/>
        <v>3.7554477874458267E-3</v>
      </c>
      <c r="H29" s="115">
        <f t="shared" si="20"/>
        <v>4.7950609651941202E-3</v>
      </c>
      <c r="I29" s="115">
        <f t="shared" si="20"/>
        <v>5.3682075534356739E-3</v>
      </c>
      <c r="J29" s="151">
        <f t="shared" si="20"/>
        <v>7.2050059418146684E-3</v>
      </c>
      <c r="K29" s="149">
        <f>J29+0.06%</f>
        <v>7.8050059418146682E-3</v>
      </c>
      <c r="L29" s="150">
        <f t="shared" ref="L29:P29" si="21">K29+0.06%</f>
        <v>8.405005941814668E-3</v>
      </c>
      <c r="M29" s="150">
        <f t="shared" si="21"/>
        <v>9.0050059418146679E-3</v>
      </c>
      <c r="N29" s="150">
        <f t="shared" si="21"/>
        <v>9.6050059418146677E-3</v>
      </c>
      <c r="O29" s="150">
        <f t="shared" si="21"/>
        <v>1.0205005941814668E-2</v>
      </c>
      <c r="P29" s="150">
        <f t="shared" si="21"/>
        <v>1.0805005941814667E-2</v>
      </c>
    </row>
    <row r="30" spans="2:17" x14ac:dyDescent="0.25">
      <c r="B30" s="74" t="s">
        <v>58</v>
      </c>
      <c r="C30" s="80">
        <v>621.92999999999995</v>
      </c>
      <c r="D30" s="80">
        <v>1107.3699999999999</v>
      </c>
      <c r="E30" s="80">
        <v>1439.6</v>
      </c>
      <c r="F30" s="80">
        <v>2371.04</v>
      </c>
      <c r="G30" s="80">
        <v>3155.34</v>
      </c>
      <c r="H30" s="80">
        <v>3945.83</v>
      </c>
      <c r="I30" s="80">
        <v>4613.93</v>
      </c>
      <c r="J30" s="124">
        <v>7890.7</v>
      </c>
      <c r="K30" s="120">
        <f>K24*K31</f>
        <v>6513.9352199999985</v>
      </c>
      <c r="L30" s="107">
        <f t="shared" ref="L30:P30" si="22">L24*L31</f>
        <v>7816.7222639999982</v>
      </c>
      <c r="M30" s="107">
        <f t="shared" si="22"/>
        <v>9380.0667167999964</v>
      </c>
      <c r="N30" s="107">
        <f t="shared" si="22"/>
        <v>11256.080060159997</v>
      </c>
      <c r="O30" s="107">
        <f t="shared" si="22"/>
        <v>13507.296072191997</v>
      </c>
      <c r="P30" s="107">
        <f t="shared" si="22"/>
        <v>16208.755286630398</v>
      </c>
    </row>
    <row r="31" spans="2:17" ht="15.75" thickBot="1" x14ac:dyDescent="0.3">
      <c r="B31" s="68"/>
      <c r="C31" s="115">
        <f>C30/C$24</f>
        <v>2.6738303577531965E-2</v>
      </c>
      <c r="D31" s="115">
        <f t="shared" ref="D31:J31" si="23">D30/D$24</f>
        <v>3.2656283452659488E-2</v>
      </c>
      <c r="E31" s="115">
        <f t="shared" si="23"/>
        <v>2.8865294756445566E-2</v>
      </c>
      <c r="F31" s="115">
        <f t="shared" si="23"/>
        <v>2.8681969023270228E-2</v>
      </c>
      <c r="G31" s="115">
        <f t="shared" si="23"/>
        <v>3.1795096787247623E-2</v>
      </c>
      <c r="H31" s="115">
        <f t="shared" si="23"/>
        <v>3.2095836146381541E-2</v>
      </c>
      <c r="I31" s="115">
        <f t="shared" si="23"/>
        <v>3.2810350876968424E-2</v>
      </c>
      <c r="J31" s="151">
        <f t="shared" si="23"/>
        <v>4.8716829807263926E-2</v>
      </c>
      <c r="K31" s="149">
        <v>0.03</v>
      </c>
      <c r="L31" s="150">
        <f>K31</f>
        <v>0.03</v>
      </c>
      <c r="M31" s="150">
        <f t="shared" ref="M31:P31" si="24">L31</f>
        <v>0.03</v>
      </c>
      <c r="N31" s="150">
        <f t="shared" si="24"/>
        <v>0.03</v>
      </c>
      <c r="O31" s="150">
        <f t="shared" si="24"/>
        <v>0.03</v>
      </c>
      <c r="P31" s="150">
        <f t="shared" si="24"/>
        <v>0.03</v>
      </c>
      <c r="Q31" s="77">
        <v>0.03</v>
      </c>
    </row>
    <row r="32" spans="2:17" ht="15.75" thickBot="1" x14ac:dyDescent="0.3">
      <c r="B32" s="81" t="s">
        <v>59</v>
      </c>
      <c r="C32" s="82">
        <f>SUM(C24,C26,C28,C30)</f>
        <v>26676.739999999998</v>
      </c>
      <c r="D32" s="82">
        <f t="shared" ref="D32:J32" si="25">SUM(D24:D30)</f>
        <v>39441.700473555487</v>
      </c>
      <c r="E32" s="82">
        <f t="shared" si="25"/>
        <v>57086.315765150866</v>
      </c>
      <c r="F32" s="82">
        <f t="shared" si="25"/>
        <v>94402.453283156661</v>
      </c>
      <c r="G32" s="82">
        <f t="shared" si="25"/>
        <v>114321.3101737246</v>
      </c>
      <c r="H32" s="82">
        <f t="shared" si="25"/>
        <v>143199.33270296649</v>
      </c>
      <c r="I32" s="82">
        <f t="shared" si="25"/>
        <v>166013.14773308608</v>
      </c>
      <c r="J32" s="128">
        <f t="shared" si="25"/>
        <v>193696.16715375718</v>
      </c>
      <c r="K32" s="146">
        <f t="shared" ref="K32:P32" si="26">SUM(K24:K30)</f>
        <v>254652.67061822908</v>
      </c>
      <c r="L32" s="146">
        <f t="shared" si="26"/>
        <v>305739.51122615376</v>
      </c>
      <c r="M32" s="146">
        <f t="shared" si="26"/>
        <v>365511.63727191917</v>
      </c>
      <c r="N32" s="146">
        <f t="shared" si="26"/>
        <v>436963.04078314517</v>
      </c>
      <c r="O32" s="146">
        <f t="shared" si="26"/>
        <v>524625.76854021684</v>
      </c>
      <c r="P32" s="146">
        <f t="shared" si="26"/>
        <v>629875.07091299153</v>
      </c>
    </row>
    <row r="33" spans="2:17" x14ac:dyDescent="0.25">
      <c r="B33" s="74"/>
      <c r="C33" s="75"/>
      <c r="D33" s="75"/>
      <c r="E33" s="75"/>
      <c r="F33" s="75"/>
      <c r="G33" s="75"/>
      <c r="H33" s="75"/>
      <c r="I33" s="75"/>
      <c r="J33" s="133"/>
      <c r="K33" s="119"/>
      <c r="L33" s="109"/>
      <c r="M33" s="109"/>
      <c r="N33" s="109"/>
      <c r="O33" s="109"/>
      <c r="P33" s="109"/>
    </row>
    <row r="34" spans="2:17" x14ac:dyDescent="0.25">
      <c r="B34" s="74" t="s">
        <v>296</v>
      </c>
      <c r="C34" s="80">
        <v>934.38</v>
      </c>
      <c r="D34" s="80">
        <v>1508.03</v>
      </c>
      <c r="E34" s="80">
        <v>2075.4299999999998</v>
      </c>
      <c r="F34" s="80">
        <v>3936.81</v>
      </c>
      <c r="G34" s="80">
        <v>5394.52</v>
      </c>
      <c r="H34" s="80">
        <v>7608.24</v>
      </c>
      <c r="I34" s="80">
        <v>10464.65</v>
      </c>
      <c r="J34" s="124">
        <f>J26-SUM(J35:J39)</f>
        <v>11376.949999999999</v>
      </c>
      <c r="K34" s="119"/>
      <c r="L34" s="111"/>
      <c r="M34" s="109"/>
      <c r="N34" s="109"/>
      <c r="O34" s="109"/>
      <c r="P34" s="109"/>
    </row>
    <row r="35" spans="2:17" x14ac:dyDescent="0.25">
      <c r="B35" s="74" t="s">
        <v>297</v>
      </c>
      <c r="C35" s="80">
        <v>1565.4</v>
      </c>
      <c r="D35" s="80">
        <v>2451.2600000000002</v>
      </c>
      <c r="E35" s="80">
        <v>2903.72</v>
      </c>
      <c r="F35" s="80">
        <v>4102.9399999999996</v>
      </c>
      <c r="G35" s="80">
        <v>4859.78</v>
      </c>
      <c r="H35" s="80">
        <v>6538.8</v>
      </c>
      <c r="I35" s="80">
        <v>7576.65</v>
      </c>
      <c r="J35" s="124">
        <v>8761.86</v>
      </c>
      <c r="K35" s="119"/>
      <c r="L35" s="111"/>
      <c r="M35" s="109"/>
      <c r="N35" s="109"/>
      <c r="O35" s="109"/>
      <c r="P35" s="109"/>
    </row>
    <row r="36" spans="2:17" x14ac:dyDescent="0.25">
      <c r="B36" s="74" t="s">
        <v>298</v>
      </c>
      <c r="C36" s="80" t="s">
        <v>299</v>
      </c>
      <c r="D36" s="80">
        <v>1.37</v>
      </c>
      <c r="E36" s="80">
        <v>61.78</v>
      </c>
      <c r="F36" s="80">
        <v>121.67</v>
      </c>
      <c r="G36" s="80">
        <v>142.03</v>
      </c>
      <c r="H36" s="80">
        <v>146</v>
      </c>
      <c r="I36" s="80">
        <v>33</v>
      </c>
      <c r="J36" s="124">
        <v>33</v>
      </c>
      <c r="K36" s="119"/>
      <c r="L36" s="111"/>
      <c r="M36" s="109"/>
      <c r="N36" s="109"/>
      <c r="O36" s="109"/>
      <c r="P36" s="109"/>
    </row>
    <row r="37" spans="2:17" x14ac:dyDescent="0.25">
      <c r="B37" s="74" t="s">
        <v>300</v>
      </c>
      <c r="C37" s="80">
        <v>256.02</v>
      </c>
      <c r="D37" s="80">
        <v>383.57</v>
      </c>
      <c r="E37" s="80">
        <v>610.07000000000005</v>
      </c>
      <c r="F37" s="80">
        <v>1022.28</v>
      </c>
      <c r="G37" s="80">
        <v>1047.3800000000001</v>
      </c>
      <c r="H37" s="80">
        <v>1290.3</v>
      </c>
      <c r="I37" s="80">
        <v>1726.3</v>
      </c>
      <c r="J37" s="124">
        <v>1595.9</v>
      </c>
      <c r="K37" s="119"/>
      <c r="L37" s="111"/>
      <c r="M37" s="109"/>
      <c r="N37" s="109"/>
      <c r="O37" s="109"/>
      <c r="P37" s="109"/>
    </row>
    <row r="38" spans="2:17" x14ac:dyDescent="0.25">
      <c r="B38" s="74" t="s">
        <v>301</v>
      </c>
      <c r="C38" s="80">
        <v>9.5500000000000007</v>
      </c>
      <c r="D38" s="80">
        <v>12.42</v>
      </c>
      <c r="E38" s="80">
        <v>23.29</v>
      </c>
      <c r="F38" s="80">
        <v>62.14</v>
      </c>
      <c r="G38" s="80">
        <v>106.97</v>
      </c>
      <c r="H38" s="80">
        <v>138.6</v>
      </c>
      <c r="I38" s="80">
        <v>218.9</v>
      </c>
      <c r="J38" s="318">
        <v>899.89</v>
      </c>
      <c r="K38" s="119"/>
      <c r="L38" s="111"/>
      <c r="M38" s="109"/>
      <c r="N38" s="109"/>
      <c r="O38" s="109"/>
      <c r="P38" s="109"/>
    </row>
    <row r="39" spans="2:17" x14ac:dyDescent="0.25">
      <c r="B39" s="74" t="s">
        <v>302</v>
      </c>
      <c r="C39" s="80" t="s">
        <v>299</v>
      </c>
      <c r="D39" s="80" t="s">
        <v>299</v>
      </c>
      <c r="E39" s="80">
        <v>6.05</v>
      </c>
      <c r="F39" s="80">
        <v>7.6</v>
      </c>
      <c r="G39" s="80">
        <v>2.65</v>
      </c>
      <c r="H39" s="80">
        <v>2.93</v>
      </c>
      <c r="I39" s="80">
        <v>0.45</v>
      </c>
      <c r="J39" s="319"/>
      <c r="K39" s="119"/>
      <c r="L39" s="111"/>
      <c r="M39" s="109"/>
      <c r="N39" s="109"/>
      <c r="O39" s="109"/>
      <c r="P39" s="109"/>
    </row>
    <row r="40" spans="2:17" x14ac:dyDescent="0.25">
      <c r="B40" s="89" t="s">
        <v>303</v>
      </c>
      <c r="C40" s="80">
        <f>SUM(C34:C39)</f>
        <v>2765.3500000000004</v>
      </c>
      <c r="D40" s="80">
        <f t="shared" ref="D40:G40" si="27">SUM(D34:D39)</f>
        <v>4356.6499999999996</v>
      </c>
      <c r="E40" s="80">
        <f t="shared" si="27"/>
        <v>5680.3399999999992</v>
      </c>
      <c r="F40" s="80">
        <f t="shared" si="27"/>
        <v>9253.44</v>
      </c>
      <c r="G40" s="80">
        <f t="shared" si="27"/>
        <v>11553.329999999998</v>
      </c>
      <c r="H40" s="80">
        <f>SUM(H34:H39)</f>
        <v>15724.87</v>
      </c>
      <c r="I40" s="80">
        <f>SUM(I34:I39)</f>
        <v>20019.95</v>
      </c>
      <c r="J40" s="124">
        <f>SUM(J34:J39)</f>
        <v>22667.599999999999</v>
      </c>
      <c r="K40" s="119"/>
      <c r="L40" s="109"/>
      <c r="M40" s="109"/>
      <c r="N40" s="109"/>
      <c r="O40" s="109"/>
      <c r="P40" s="109"/>
    </row>
    <row r="45" spans="2:17" x14ac:dyDescent="0.25">
      <c r="B45" s="90" t="s">
        <v>311</v>
      </c>
    </row>
    <row r="46" spans="2:17" x14ac:dyDescent="0.25">
      <c r="B46" s="90" t="s">
        <v>312</v>
      </c>
    </row>
    <row r="47" spans="2:17" x14ac:dyDescent="0.25">
      <c r="B47" s="90" t="s">
        <v>313</v>
      </c>
      <c r="Q47" s="70" t="s">
        <v>280</v>
      </c>
    </row>
    <row r="48" spans="2:17" x14ac:dyDescent="0.25">
      <c r="B48" s="90" t="s">
        <v>314</v>
      </c>
      <c r="C48" s="168">
        <f>C52/C32</f>
        <v>0.10356812713997289</v>
      </c>
      <c r="D48" s="168">
        <f t="shared" ref="D48:J48" si="28">D52/D32</f>
        <v>0.10391260901004809</v>
      </c>
      <c r="E48" s="168">
        <f t="shared" si="28"/>
        <v>0.14026391250997627</v>
      </c>
      <c r="F48" s="168">
        <f t="shared" si="28"/>
        <v>0.14365601240597892</v>
      </c>
      <c r="G48" s="168">
        <f t="shared" si="28"/>
        <v>0.14610696793640332</v>
      </c>
      <c r="H48" s="168">
        <f t="shared" si="28"/>
        <v>0.13633010455778177</v>
      </c>
      <c r="I48" s="168">
        <f t="shared" si="28"/>
        <v>0.15734609190109367</v>
      </c>
      <c r="J48" s="168">
        <f t="shared" si="28"/>
        <v>0.16135440602286466</v>
      </c>
      <c r="Q48" s="70">
        <v>460</v>
      </c>
    </row>
    <row r="49" spans="2:27" x14ac:dyDescent="0.25">
      <c r="B49" s="75"/>
      <c r="C49" s="75">
        <v>2010</v>
      </c>
      <c r="D49" s="75">
        <f>C49+1</f>
        <v>2011</v>
      </c>
      <c r="E49" s="75">
        <f t="shared" ref="E49:J49" si="29">D49+1</f>
        <v>2012</v>
      </c>
      <c r="F49" s="75">
        <f t="shared" si="29"/>
        <v>2013</v>
      </c>
      <c r="G49" s="75">
        <f t="shared" si="29"/>
        <v>2014</v>
      </c>
      <c r="H49" s="75">
        <f t="shared" si="29"/>
        <v>2015</v>
      </c>
      <c r="I49" s="75">
        <f t="shared" si="29"/>
        <v>2016</v>
      </c>
      <c r="J49" s="75">
        <f t="shared" si="29"/>
        <v>2017</v>
      </c>
    </row>
    <row r="50" spans="2:27" x14ac:dyDescent="0.25">
      <c r="B50" s="74" t="s">
        <v>47</v>
      </c>
      <c r="C50" s="76">
        <v>4703.8100000000004</v>
      </c>
      <c r="D50" s="76">
        <v>6372.43</v>
      </c>
      <c r="E50" s="76">
        <v>10634.4</v>
      </c>
      <c r="F50" s="76">
        <v>17149.509999999998</v>
      </c>
      <c r="G50" s="76">
        <v>20310.310000000001</v>
      </c>
      <c r="H50" s="76">
        <f>H52-H51</f>
        <v>23075.5</v>
      </c>
      <c r="I50" s="76">
        <f>I52-I51</f>
        <v>29687.48</v>
      </c>
      <c r="J50" s="76">
        <f>J52-J51</f>
        <v>36585.729999999996</v>
      </c>
    </row>
    <row r="51" spans="2:27" x14ac:dyDescent="0.25">
      <c r="B51" s="74" t="s">
        <v>315</v>
      </c>
      <c r="C51" s="76">
        <v>-1940.95</v>
      </c>
      <c r="D51" s="76">
        <v>-2273.94</v>
      </c>
      <c r="E51" s="76">
        <v>-2627.25</v>
      </c>
      <c r="F51" s="76">
        <v>-3588.03</v>
      </c>
      <c r="G51" s="76">
        <v>-3607.17</v>
      </c>
      <c r="H51" s="76">
        <v>-3553.12</v>
      </c>
      <c r="I51" s="76">
        <v>-3565.96</v>
      </c>
      <c r="J51" s="76">
        <v>-5332</v>
      </c>
      <c r="AA51" s="304">
        <v>354.31296667826081</v>
      </c>
    </row>
    <row r="52" spans="2:27" x14ac:dyDescent="0.25">
      <c r="B52" s="74" t="s">
        <v>49</v>
      </c>
      <c r="C52" s="76">
        <v>2762.86</v>
      </c>
      <c r="D52" s="76">
        <v>4098.49</v>
      </c>
      <c r="E52" s="76">
        <v>8007.15</v>
      </c>
      <c r="F52" s="76">
        <v>13561.48</v>
      </c>
      <c r="G52" s="76">
        <v>16703.14</v>
      </c>
      <c r="H52" s="76">
        <v>19522.38</v>
      </c>
      <c r="I52" s="76">
        <v>26121.52</v>
      </c>
      <c r="J52" s="76">
        <v>31253.73</v>
      </c>
    </row>
    <row r="53" spans="2:27" x14ac:dyDescent="0.25">
      <c r="B53" s="74" t="s">
        <v>316</v>
      </c>
      <c r="C53" s="76">
        <v>87.77</v>
      </c>
      <c r="D53" s="76">
        <v>300.35000000000002</v>
      </c>
      <c r="E53" s="76">
        <v>313.18</v>
      </c>
      <c r="F53" s="76">
        <v>364.29</v>
      </c>
      <c r="G53" s="76">
        <v>826.57</v>
      </c>
      <c r="H53" s="76">
        <v>929.36</v>
      </c>
      <c r="I53" s="76">
        <v>1019.02</v>
      </c>
      <c r="J53" s="76">
        <v>1299</v>
      </c>
      <c r="U53" s="303" t="s">
        <v>5</v>
      </c>
      <c r="V53" s="302" t="s">
        <v>275</v>
      </c>
      <c r="W53" s="302" t="s">
        <v>276</v>
      </c>
      <c r="X53" s="302" t="s">
        <v>277</v>
      </c>
      <c r="Y53" s="302" t="s">
        <v>278</v>
      </c>
      <c r="Z53" s="302" t="s">
        <v>279</v>
      </c>
    </row>
    <row r="54" spans="2:27" x14ac:dyDescent="0.25">
      <c r="B54" s="74" t="s">
        <v>97</v>
      </c>
      <c r="C54" s="76">
        <v>80.680000000000007</v>
      </c>
      <c r="D54" s="76">
        <v>302.35000000000002</v>
      </c>
      <c r="E54" s="76">
        <v>312.73</v>
      </c>
      <c r="F54" s="76">
        <v>363.12</v>
      </c>
      <c r="G54" s="76">
        <v>603.20000000000005</v>
      </c>
      <c r="H54" s="76">
        <v>669.67</v>
      </c>
      <c r="I54" s="76">
        <v>701.57</v>
      </c>
      <c r="J54" s="76">
        <v>478.8</v>
      </c>
      <c r="U54" s="303" t="s">
        <v>293</v>
      </c>
      <c r="V54" s="286">
        <v>160</v>
      </c>
      <c r="W54" s="286">
        <v>170.86852173913041</v>
      </c>
      <c r="X54" s="286">
        <v>205.04222608695648</v>
      </c>
      <c r="Y54" s="286">
        <v>246.05067130434779</v>
      </c>
      <c r="Z54" s="286">
        <v>295.26080556521737</v>
      </c>
    </row>
    <row r="55" spans="2:27" ht="15.75" thickBot="1" x14ac:dyDescent="0.3">
      <c r="B55" s="166" t="s">
        <v>330</v>
      </c>
      <c r="C55" s="167">
        <f>SUM(C53:C54)/C56</f>
        <v>3.4573278109132098E-2</v>
      </c>
      <c r="D55" s="167">
        <f t="shared" ref="D55:J55" si="30">SUM(D53:D54)/D56</f>
        <v>8.6406991697645777E-2</v>
      </c>
      <c r="E55" s="167">
        <f t="shared" si="30"/>
        <v>5.5585503418644787E-2</v>
      </c>
      <c r="F55" s="167">
        <f t="shared" si="30"/>
        <v>4.0689895127348566E-2</v>
      </c>
      <c r="G55" s="167">
        <f t="shared" si="30"/>
        <v>6.5766547317213181E-2</v>
      </c>
      <c r="H55" s="167">
        <f t="shared" si="30"/>
        <v>6.4804881795114233E-2</v>
      </c>
      <c r="I55" s="167">
        <f t="shared" si="30"/>
        <v>5.4781780606067171E-2</v>
      </c>
      <c r="J55" s="167">
        <f t="shared" si="30"/>
        <v>4.6340886774496506E-2</v>
      </c>
      <c r="U55" s="303" t="s">
        <v>294</v>
      </c>
      <c r="V55" s="301">
        <v>460</v>
      </c>
      <c r="W55" s="301">
        <v>460</v>
      </c>
      <c r="X55" s="301">
        <v>460</v>
      </c>
      <c r="Y55" s="301">
        <v>460</v>
      </c>
      <c r="Z55" s="301">
        <v>460</v>
      </c>
    </row>
    <row r="56" spans="2:27" x14ac:dyDescent="0.25">
      <c r="B56" s="156" t="s">
        <v>317</v>
      </c>
      <c r="C56" s="73">
        <f>SUM(C50,C53,C54)</f>
        <v>4872.2600000000011</v>
      </c>
      <c r="D56" s="73">
        <f t="shared" ref="D56:J56" si="31">SUM(D50,D53,D54)</f>
        <v>6975.130000000001</v>
      </c>
      <c r="E56" s="73">
        <f t="shared" si="31"/>
        <v>11260.31</v>
      </c>
      <c r="F56" s="73">
        <f t="shared" si="31"/>
        <v>17876.919999999998</v>
      </c>
      <c r="G56" s="73">
        <f t="shared" si="31"/>
        <v>21740.080000000002</v>
      </c>
      <c r="H56" s="73">
        <f t="shared" si="31"/>
        <v>24674.53</v>
      </c>
      <c r="I56" s="73">
        <f t="shared" si="31"/>
        <v>31408.07</v>
      </c>
      <c r="J56" s="73">
        <f t="shared" si="31"/>
        <v>38363.53</v>
      </c>
    </row>
    <row r="57" spans="2:27" x14ac:dyDescent="0.25">
      <c r="B57" s="89" t="s">
        <v>318</v>
      </c>
      <c r="C57" s="76">
        <f>SUM(C52:C54)</f>
        <v>2931.31</v>
      </c>
      <c r="D57" s="76">
        <f t="shared" ref="D57:J57" si="32">SUM(D52:D54)</f>
        <v>4701.1900000000005</v>
      </c>
      <c r="E57" s="76">
        <f t="shared" si="32"/>
        <v>8633.06</v>
      </c>
      <c r="F57" s="76">
        <f t="shared" si="32"/>
        <v>14288.890000000001</v>
      </c>
      <c r="G57" s="76">
        <f t="shared" si="32"/>
        <v>18132.91</v>
      </c>
      <c r="H57" s="76">
        <f t="shared" si="32"/>
        <v>21121.41</v>
      </c>
      <c r="I57" s="76">
        <f t="shared" si="32"/>
        <v>27842.11</v>
      </c>
      <c r="J57" s="76">
        <f t="shared" si="32"/>
        <v>33031.53</v>
      </c>
      <c r="N57" s="159">
        <f>7.55%+1.95%+1%</f>
        <v>0.105</v>
      </c>
    </row>
    <row r="58" spans="2:27" ht="15.75" thickBot="1" x14ac:dyDescent="0.3">
      <c r="B58" s="90" t="s">
        <v>293</v>
      </c>
      <c r="C58" s="91">
        <f>C17</f>
        <v>25</v>
      </c>
      <c r="D58" s="91">
        <f t="shared" ref="D58:J58" si="33">D17</f>
        <v>39</v>
      </c>
      <c r="E58" s="91">
        <f t="shared" si="33"/>
        <v>55</v>
      </c>
      <c r="F58" s="91">
        <f t="shared" si="33"/>
        <v>66</v>
      </c>
      <c r="G58" s="91">
        <f t="shared" si="33"/>
        <v>77</v>
      </c>
      <c r="H58" s="91">
        <f t="shared" si="33"/>
        <v>94</v>
      </c>
      <c r="I58" s="91">
        <f t="shared" si="33"/>
        <v>107</v>
      </c>
      <c r="J58" s="91">
        <f t="shared" si="33"/>
        <v>131</v>
      </c>
      <c r="U58" s="313" t="s">
        <v>5</v>
      </c>
      <c r="V58" s="305" t="s">
        <v>275</v>
      </c>
      <c r="W58" s="306" t="s">
        <v>276</v>
      </c>
      <c r="X58" s="306" t="s">
        <v>277</v>
      </c>
      <c r="Y58" s="306" t="s">
        <v>278</v>
      </c>
      <c r="Z58" s="306" t="s">
        <v>279</v>
      </c>
    </row>
    <row r="59" spans="2:27" x14ac:dyDescent="0.25">
      <c r="C59" s="157">
        <f>C56/C58</f>
        <v>194.89040000000006</v>
      </c>
      <c r="D59" s="157">
        <f t="shared" ref="D59:J59" si="34">D56/D58</f>
        <v>178.8494871794872</v>
      </c>
      <c r="E59" s="157">
        <f t="shared" si="34"/>
        <v>204.73290909090909</v>
      </c>
      <c r="F59" s="157">
        <f t="shared" si="34"/>
        <v>270.8624242424242</v>
      </c>
      <c r="G59" s="157">
        <f t="shared" si="34"/>
        <v>282.33870129870132</v>
      </c>
      <c r="H59" s="157">
        <f t="shared" si="34"/>
        <v>262.495</v>
      </c>
      <c r="I59" s="157">
        <f t="shared" si="34"/>
        <v>293.53336448598128</v>
      </c>
      <c r="J59" s="157">
        <f t="shared" si="34"/>
        <v>292.85137404580149</v>
      </c>
      <c r="U59" s="312" t="s">
        <v>283</v>
      </c>
      <c r="V59" s="308">
        <v>0.85</v>
      </c>
      <c r="W59" s="309">
        <f>V59</f>
        <v>0.85</v>
      </c>
      <c r="X59" s="309">
        <f t="shared" ref="X59:X60" si="35">W59</f>
        <v>0.85</v>
      </c>
      <c r="Y59" s="309">
        <f t="shared" ref="Y59:Y60" si="36">X59</f>
        <v>0.85</v>
      </c>
      <c r="Z59" s="309">
        <f t="shared" ref="Z59:Z60" si="37">Y59</f>
        <v>0.85</v>
      </c>
    </row>
    <row r="60" spans="2:27" x14ac:dyDescent="0.25">
      <c r="B60" s="90" t="s">
        <v>319</v>
      </c>
      <c r="U60" s="307" t="s">
        <v>430</v>
      </c>
      <c r="V60" s="310">
        <v>3.9</v>
      </c>
      <c r="W60" s="311">
        <f>V60</f>
        <v>3.9</v>
      </c>
      <c r="X60" s="311">
        <f t="shared" si="35"/>
        <v>3.9</v>
      </c>
      <c r="Y60" s="311">
        <f t="shared" si="36"/>
        <v>3.9</v>
      </c>
      <c r="Z60" s="311">
        <f t="shared" si="37"/>
        <v>3.9</v>
      </c>
    </row>
    <row r="61" spans="2:27" x14ac:dyDescent="0.25">
      <c r="B61" s="90" t="s">
        <v>333</v>
      </c>
      <c r="C61" s="75" t="s">
        <v>320</v>
      </c>
      <c r="D61" s="75" t="s">
        <v>321</v>
      </c>
      <c r="E61" s="75" t="s">
        <v>322</v>
      </c>
      <c r="F61" s="75">
        <v>1</v>
      </c>
      <c r="G61" s="75">
        <v>2</v>
      </c>
      <c r="H61" s="75">
        <v>3</v>
      </c>
      <c r="I61" s="75">
        <v>4</v>
      </c>
      <c r="J61" s="75">
        <v>5</v>
      </c>
      <c r="K61" s="75">
        <v>6</v>
      </c>
      <c r="L61" s="75">
        <v>7</v>
      </c>
      <c r="M61" s="75">
        <v>8</v>
      </c>
      <c r="N61" s="75">
        <v>9</v>
      </c>
      <c r="O61" s="75">
        <v>10</v>
      </c>
      <c r="P61" s="75"/>
      <c r="U61" s="307" t="s">
        <v>284</v>
      </c>
      <c r="V61" s="310">
        <v>3.3149999999999995</v>
      </c>
      <c r="W61" s="311">
        <v>3.3149999999999999</v>
      </c>
      <c r="X61" s="311">
        <v>3.3149999999999995</v>
      </c>
      <c r="Y61" s="311">
        <v>3.3149999999999995</v>
      </c>
      <c r="Z61" s="311">
        <v>3.3149999999999999</v>
      </c>
    </row>
    <row r="62" spans="2:27" x14ac:dyDescent="0.25">
      <c r="C62" s="80">
        <v>25603.42</v>
      </c>
      <c r="D62" s="80">
        <v>54159.89</v>
      </c>
      <c r="E62" s="80">
        <v>3445.52</v>
      </c>
      <c r="F62" s="80">
        <f>C62</f>
        <v>25603.42</v>
      </c>
      <c r="G62" s="80">
        <f>$D$62/4</f>
        <v>13539.9725</v>
      </c>
      <c r="H62" s="80">
        <f t="shared" ref="H62:J62" si="38">$D$62/4</f>
        <v>13539.9725</v>
      </c>
      <c r="I62" s="80">
        <f t="shared" si="38"/>
        <v>13539.9725</v>
      </c>
      <c r="J62" s="80">
        <f t="shared" si="38"/>
        <v>13539.9725</v>
      </c>
      <c r="K62" s="80">
        <f>$E$62/5</f>
        <v>689.10400000000004</v>
      </c>
      <c r="L62" s="80">
        <f t="shared" ref="L62:O62" si="39">$E$62/5</f>
        <v>689.10400000000004</v>
      </c>
      <c r="M62" s="80">
        <f t="shared" si="39"/>
        <v>689.10400000000004</v>
      </c>
      <c r="N62" s="80">
        <f t="shared" si="39"/>
        <v>689.10400000000004</v>
      </c>
      <c r="O62" s="80">
        <f t="shared" si="39"/>
        <v>689.10400000000004</v>
      </c>
      <c r="P62" s="78">
        <v>0.105</v>
      </c>
    </row>
    <row r="63" spans="2:27" x14ac:dyDescent="0.25">
      <c r="F63" s="80">
        <f t="shared" ref="F63:O63" si="40">F62/(1+$P$62)^F61</f>
        <v>23170.515837104071</v>
      </c>
      <c r="G63" s="80">
        <f t="shared" si="40"/>
        <v>11089.021518805921</v>
      </c>
      <c r="H63" s="80">
        <f t="shared" si="40"/>
        <v>10035.313591679567</v>
      </c>
      <c r="I63" s="80">
        <f t="shared" si="40"/>
        <v>9081.7317571760777</v>
      </c>
      <c r="J63" s="80">
        <f t="shared" si="40"/>
        <v>8218.7617712000701</v>
      </c>
      <c r="K63" s="80">
        <f t="shared" si="40"/>
        <v>378.53941159409845</v>
      </c>
      <c r="L63" s="80">
        <f t="shared" si="40"/>
        <v>342.56960325257779</v>
      </c>
      <c r="M63" s="80">
        <f t="shared" si="40"/>
        <v>310.01774050007043</v>
      </c>
      <c r="N63" s="80">
        <f t="shared" si="40"/>
        <v>280.55904117653432</v>
      </c>
      <c r="O63" s="80">
        <f t="shared" si="40"/>
        <v>253.89958477514418</v>
      </c>
      <c r="P63" s="158">
        <f>SUM(F63:O63)</f>
        <v>63160.929857264142</v>
      </c>
    </row>
    <row r="64" spans="2:27" ht="15.75" thickBot="1" x14ac:dyDescent="0.3">
      <c r="C64" s="75" t="s">
        <v>320</v>
      </c>
      <c r="D64" s="75" t="s">
        <v>321</v>
      </c>
      <c r="E64" s="75" t="s">
        <v>322</v>
      </c>
      <c r="F64" s="75">
        <v>1</v>
      </c>
      <c r="G64" s="75">
        <v>2</v>
      </c>
      <c r="H64" s="75">
        <v>3</v>
      </c>
      <c r="I64" s="75">
        <v>4</v>
      </c>
      <c r="J64" s="75">
        <v>5</v>
      </c>
      <c r="K64" s="75">
        <v>6</v>
      </c>
      <c r="L64" s="75">
        <v>7</v>
      </c>
      <c r="M64" s="75">
        <v>8</v>
      </c>
      <c r="N64" s="75">
        <v>9</v>
      </c>
      <c r="O64" s="75">
        <v>10</v>
      </c>
      <c r="P64" s="75"/>
      <c r="U64" s="313" t="s">
        <v>5</v>
      </c>
      <c r="V64" s="305" t="s">
        <v>275</v>
      </c>
      <c r="W64" s="306" t="s">
        <v>276</v>
      </c>
      <c r="X64" s="306" t="s">
        <v>277</v>
      </c>
      <c r="Y64" s="306" t="s">
        <v>278</v>
      </c>
      <c r="Z64" s="306" t="s">
        <v>279</v>
      </c>
    </row>
    <row r="65" spans="2:26" x14ac:dyDescent="0.25">
      <c r="C65" s="80">
        <v>2993</v>
      </c>
      <c r="D65" s="80">
        <v>11980</v>
      </c>
      <c r="E65" s="75">
        <v>11336</v>
      </c>
      <c r="F65" s="80">
        <f>C65</f>
        <v>2993</v>
      </c>
      <c r="G65" s="80">
        <f>$D$65/4</f>
        <v>2995</v>
      </c>
      <c r="H65" s="80">
        <f t="shared" ref="H65:J65" si="41">$D$65/4</f>
        <v>2995</v>
      </c>
      <c r="I65" s="80">
        <f t="shared" si="41"/>
        <v>2995</v>
      </c>
      <c r="J65" s="80">
        <f t="shared" si="41"/>
        <v>2995</v>
      </c>
      <c r="K65" s="80">
        <f>$E$65/5</f>
        <v>2267.1999999999998</v>
      </c>
      <c r="L65" s="80">
        <f t="shared" ref="L65:O65" si="42">$E$65/5</f>
        <v>2267.1999999999998</v>
      </c>
      <c r="M65" s="80">
        <f t="shared" si="42"/>
        <v>2267.1999999999998</v>
      </c>
      <c r="N65" s="80">
        <f t="shared" si="42"/>
        <v>2267.1999999999998</v>
      </c>
      <c r="O65" s="80">
        <f t="shared" si="42"/>
        <v>2267.1999999999998</v>
      </c>
      <c r="P65" s="78">
        <v>0.105</v>
      </c>
      <c r="U65" s="284" t="s">
        <v>291</v>
      </c>
      <c r="V65" s="314">
        <v>29312.708489999997</v>
      </c>
      <c r="W65" s="315">
        <v>35175.250187999998</v>
      </c>
      <c r="X65" s="315">
        <v>40646.955772799993</v>
      </c>
      <c r="Y65" s="315">
        <v>46900.333583999985</v>
      </c>
      <c r="Z65" s="315">
        <v>56280.400300799993</v>
      </c>
    </row>
    <row r="66" spans="2:26" x14ac:dyDescent="0.25">
      <c r="F66" s="80">
        <f>F64*12</f>
        <v>12</v>
      </c>
      <c r="G66" s="80">
        <f t="shared" ref="G66:O66" si="43">G64*12</f>
        <v>24</v>
      </c>
      <c r="H66" s="80">
        <f t="shared" si="43"/>
        <v>36</v>
      </c>
      <c r="I66" s="80">
        <f t="shared" si="43"/>
        <v>48</v>
      </c>
      <c r="J66" s="80">
        <f t="shared" si="43"/>
        <v>60</v>
      </c>
      <c r="K66" s="80">
        <f t="shared" si="43"/>
        <v>72</v>
      </c>
      <c r="L66" s="80">
        <f t="shared" si="43"/>
        <v>84</v>
      </c>
      <c r="M66" s="80">
        <f t="shared" si="43"/>
        <v>96</v>
      </c>
      <c r="N66" s="80">
        <f t="shared" si="43"/>
        <v>108</v>
      </c>
      <c r="O66" s="80">
        <f t="shared" si="43"/>
        <v>120</v>
      </c>
      <c r="P66" s="158">
        <f>SUM(F66:O66)</f>
        <v>660</v>
      </c>
      <c r="U66" s="284"/>
      <c r="V66" s="316">
        <v>0.13500000000000001</v>
      </c>
      <c r="W66" s="317">
        <v>0.13500000000000001</v>
      </c>
      <c r="X66" s="317">
        <v>0.13</v>
      </c>
      <c r="Y66" s="317">
        <v>0.125</v>
      </c>
      <c r="Z66" s="317">
        <v>0.125</v>
      </c>
    </row>
    <row r="67" spans="2:26" x14ac:dyDescent="0.25">
      <c r="F67" s="181"/>
      <c r="G67" s="181"/>
      <c r="H67" s="182"/>
      <c r="I67" s="182"/>
      <c r="J67" s="182"/>
      <c r="K67" s="182"/>
      <c r="L67" s="182"/>
      <c r="M67" s="182"/>
      <c r="N67" s="182"/>
      <c r="O67" s="182"/>
      <c r="P67" s="183"/>
      <c r="U67" s="284" t="s">
        <v>292</v>
      </c>
      <c r="V67" s="314">
        <v>1694.7101032231944</v>
      </c>
      <c r="W67" s="315">
        <v>2189.9865691478331</v>
      </c>
      <c r="X67" s="315">
        <v>2815.5852173133994</v>
      </c>
      <c r="Y67" s="315">
        <v>3603.8238619792792</v>
      </c>
      <c r="Z67" s="315">
        <v>4594.7345558189754</v>
      </c>
    </row>
    <row r="68" spans="2:26" ht="15.75" thickBot="1" x14ac:dyDescent="0.3">
      <c r="D68" s="69">
        <v>2011</v>
      </c>
      <c r="E68" s="69">
        <v>2012</v>
      </c>
      <c r="F68" s="69">
        <v>2013</v>
      </c>
      <c r="G68" s="69">
        <v>2014</v>
      </c>
      <c r="U68" s="112"/>
      <c r="V68" s="316">
        <v>7.8050059418146682E-3</v>
      </c>
      <c r="W68" s="317">
        <v>8.405005941814668E-3</v>
      </c>
      <c r="X68" s="317">
        <v>9.0050059418146679E-3</v>
      </c>
      <c r="Y68" s="317">
        <v>9.6050059418146677E-3</v>
      </c>
      <c r="Z68" s="317">
        <v>1.0205005941814668E-2</v>
      </c>
    </row>
    <row r="69" spans="2:26" x14ac:dyDescent="0.25">
      <c r="B69" s="169" t="s">
        <v>324</v>
      </c>
      <c r="C69" s="161"/>
      <c r="D69" s="172">
        <v>2725.81</v>
      </c>
      <c r="E69" s="172">
        <v>4066.52</v>
      </c>
      <c r="F69" s="172">
        <v>6418.78</v>
      </c>
      <c r="G69" s="172">
        <v>8794.31</v>
      </c>
      <c r="I69" s="134"/>
      <c r="J69" s="147"/>
      <c r="P69" s="70"/>
      <c r="U69" s="284" t="s">
        <v>58</v>
      </c>
      <c r="V69" s="314">
        <v>6513.9352199999985</v>
      </c>
      <c r="W69" s="315">
        <v>7816.7222639999982</v>
      </c>
      <c r="X69" s="315">
        <v>9380.0667167999964</v>
      </c>
      <c r="Y69" s="315">
        <v>11256.080060159997</v>
      </c>
      <c r="Z69" s="315">
        <v>13507.296072191997</v>
      </c>
    </row>
    <row r="70" spans="2:26" ht="15.75" thickBot="1" x14ac:dyDescent="0.3">
      <c r="B70" s="170" t="s">
        <v>325</v>
      </c>
      <c r="C70" s="161"/>
      <c r="D70" s="173">
        <v>955.07</v>
      </c>
      <c r="E70" s="172">
        <v>1574.29</v>
      </c>
      <c r="F70" s="172">
        <v>2617.4699999999998</v>
      </c>
      <c r="G70" s="172">
        <v>3167.07</v>
      </c>
      <c r="I70" s="134"/>
      <c r="J70" s="147"/>
      <c r="P70" s="70"/>
      <c r="U70" s="68"/>
      <c r="V70" s="316">
        <v>0.03</v>
      </c>
      <c r="W70" s="317">
        <v>0.03</v>
      </c>
      <c r="X70" s="317">
        <v>0.03</v>
      </c>
      <c r="Y70" s="317">
        <v>0.03</v>
      </c>
      <c r="Z70" s="317">
        <v>0.03</v>
      </c>
    </row>
    <row r="71" spans="2:26" x14ac:dyDescent="0.25">
      <c r="B71" s="169" t="s">
        <v>326</v>
      </c>
      <c r="C71" s="161"/>
      <c r="D71" s="172">
        <v>3119.38</v>
      </c>
      <c r="E71" s="172">
        <v>4195.32</v>
      </c>
      <c r="F71" s="172">
        <v>5564.58</v>
      </c>
      <c r="G71" s="172">
        <v>6945.46</v>
      </c>
      <c r="I71" s="134"/>
      <c r="J71" s="147"/>
      <c r="P71" s="70"/>
    </row>
    <row r="72" spans="2:26" x14ac:dyDescent="0.25">
      <c r="B72" s="169" t="s">
        <v>327</v>
      </c>
      <c r="C72" s="161"/>
      <c r="D72" s="172">
        <v>1983.46</v>
      </c>
      <c r="E72" s="172">
        <v>3124.91</v>
      </c>
      <c r="F72" s="172">
        <v>4360.57</v>
      </c>
      <c r="G72" s="172">
        <v>5565.11</v>
      </c>
      <c r="I72" s="134"/>
      <c r="J72" s="147"/>
      <c r="P72" s="70"/>
    </row>
    <row r="73" spans="2:26" x14ac:dyDescent="0.25">
      <c r="B73" s="74"/>
      <c r="C73" s="75"/>
      <c r="D73" s="171">
        <f>SUM(D69:D72)</f>
        <v>8783.7200000000012</v>
      </c>
      <c r="E73" s="171">
        <f t="shared" ref="E73:G73" si="44">SUM(E69:E72)</f>
        <v>12961.039999999999</v>
      </c>
      <c r="F73" s="171">
        <f t="shared" si="44"/>
        <v>18961.400000000001</v>
      </c>
      <c r="G73" s="171">
        <f t="shared" si="44"/>
        <v>24471.95</v>
      </c>
      <c r="H73" s="171">
        <v>30876.97</v>
      </c>
      <c r="I73" s="171">
        <v>38393.71</v>
      </c>
      <c r="J73" s="171">
        <v>47985.83</v>
      </c>
    </row>
  </sheetData>
  <mergeCells count="1">
    <mergeCell ref="J38:J39"/>
  </mergeCells>
  <pageMargins left="0.7" right="0.7" top="0.75" bottom="0.75" header="0.3" footer="0.3"/>
  <pageSetup orientation="portrait" r:id="rId1"/>
  <ignoredErrors>
    <ignoredError sqref="D73:G73 G9:J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>
      <pane xSplit="3" ySplit="6" topLeftCell="G21" activePane="bottomRight" state="frozen"/>
      <selection pane="topRight" activeCell="D1" sqref="D1"/>
      <selection pane="bottomLeft" activeCell="A7" sqref="A7"/>
      <selection pane="bottomRight" activeCell="J34" sqref="J34"/>
    </sheetView>
  </sheetViews>
  <sheetFormatPr defaultRowHeight="15" x14ac:dyDescent="0.25"/>
  <cols>
    <col min="1" max="1" width="33.28515625" customWidth="1"/>
    <col min="2" max="2" width="1.85546875" customWidth="1"/>
    <col min="3" max="3" width="1.28515625" customWidth="1"/>
    <col min="4" max="4" width="10.85546875" customWidth="1"/>
    <col min="7" max="10" width="9.7109375" bestFit="1" customWidth="1"/>
    <col min="11" max="14" width="9.5703125" bestFit="1" customWidth="1"/>
    <col min="17" max="17" width="12" bestFit="1" customWidth="1"/>
  </cols>
  <sheetData>
    <row r="1" spans="1:16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6" x14ac:dyDescent="0.25">
      <c r="A2" s="1" t="s">
        <v>1</v>
      </c>
    </row>
    <row r="3" spans="1:16" x14ac:dyDescent="0.25">
      <c r="A3" t="s">
        <v>2</v>
      </c>
    </row>
    <row r="4" spans="1:16" x14ac:dyDescent="0.25">
      <c r="A4" t="s">
        <v>3</v>
      </c>
      <c r="B4" s="9"/>
      <c r="C4" s="4"/>
      <c r="D4" s="5"/>
      <c r="E4" s="9"/>
      <c r="F4" s="9"/>
      <c r="G4" s="9"/>
      <c r="H4" s="5"/>
      <c r="K4" s="9"/>
      <c r="L4" s="9"/>
      <c r="M4" s="9"/>
      <c r="N4" s="9"/>
    </row>
    <row r="5" spans="1:16" x14ac:dyDescent="0.25">
      <c r="A5" s="8" t="s">
        <v>4</v>
      </c>
      <c r="B5" s="5"/>
      <c r="C5" s="5"/>
      <c r="D5" s="235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6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6" x14ac:dyDescent="0.25">
      <c r="A7" t="s">
        <v>41</v>
      </c>
      <c r="D7" s="239">
        <v>38334.199999999997</v>
      </c>
      <c r="E7" s="237">
        <v>55646.6</v>
      </c>
      <c r="F7" s="237">
        <v>92031.3</v>
      </c>
      <c r="G7" s="237">
        <v>111165.84</v>
      </c>
      <c r="H7" s="244">
        <v>139253.35999999999</v>
      </c>
      <c r="I7" s="237">
        <v>161399.09</v>
      </c>
      <c r="J7" s="237">
        <v>185805</v>
      </c>
      <c r="K7" s="241">
        <f>SUM('Assumptions Sheet'!K24,'Assumptions Sheet'!K26,'Assumptions Sheet'!K28)</f>
        <v>248138.59259322315</v>
      </c>
      <c r="L7" s="241">
        <f>SUM('Assumptions Sheet'!L24,'Assumptions Sheet'!L26,'Assumptions Sheet'!L28)</f>
        <v>297922.6455571478</v>
      </c>
      <c r="M7" s="241">
        <f>SUM('Assumptions Sheet'!M24,'Assumptions Sheet'!M26,'Assumptions Sheet'!M28)</f>
        <v>356131.43155011325</v>
      </c>
      <c r="N7" s="241">
        <f>SUM('Assumptions Sheet'!N24,'Assumptions Sheet'!N26,'Assumptions Sheet'!N28)</f>
        <v>425706.82611797919</v>
      </c>
      <c r="O7" s="241">
        <f>SUM('Assumptions Sheet'!O24,'Assumptions Sheet'!O26,'Assumptions Sheet'!O28)</f>
        <v>511118.33726301888</v>
      </c>
      <c r="P7" s="233"/>
    </row>
    <row r="8" spans="1:16" x14ac:dyDescent="0.25">
      <c r="A8" t="s">
        <v>58</v>
      </c>
      <c r="C8" s="2"/>
      <c r="D8" s="245">
        <v>1107.3699999999999</v>
      </c>
      <c r="E8" s="245">
        <v>1439.6</v>
      </c>
      <c r="F8" s="245">
        <v>2371.04</v>
      </c>
      <c r="G8" s="245">
        <v>3155.34</v>
      </c>
      <c r="H8" s="245">
        <v>3945.83</v>
      </c>
      <c r="I8" s="245">
        <v>4613.93</v>
      </c>
      <c r="J8" s="245">
        <v>7890.7</v>
      </c>
      <c r="K8" s="241">
        <f>'Assumptions Sheet'!K30</f>
        <v>6513.9352199999985</v>
      </c>
      <c r="L8" s="241">
        <f>'Assumptions Sheet'!L30</f>
        <v>7816.7222639999982</v>
      </c>
      <c r="M8" s="241">
        <f>'Assumptions Sheet'!M30</f>
        <v>9380.0667167999964</v>
      </c>
      <c r="N8" s="241">
        <f>'Assumptions Sheet'!N30</f>
        <v>11256.080060159997</v>
      </c>
      <c r="O8" s="241">
        <f>'Assumptions Sheet'!O30</f>
        <v>13507.296072191997</v>
      </c>
      <c r="P8" s="233"/>
    </row>
    <row r="9" spans="1:16" x14ac:dyDescent="0.25">
      <c r="A9" s="26" t="s">
        <v>59</v>
      </c>
      <c r="D9" s="21">
        <f>SUM(D7:D8)</f>
        <v>39441.57</v>
      </c>
      <c r="E9" s="21">
        <f t="shared" ref="E9:O9" si="3">SUM(E7:E8)</f>
        <v>57086.2</v>
      </c>
      <c r="F9" s="21">
        <f t="shared" si="3"/>
        <v>94402.34</v>
      </c>
      <c r="G9" s="21">
        <f t="shared" si="3"/>
        <v>114321.18</v>
      </c>
      <c r="H9" s="21">
        <f t="shared" si="3"/>
        <v>143199.18999999997</v>
      </c>
      <c r="I9" s="21">
        <f t="shared" si="3"/>
        <v>166013.01999999999</v>
      </c>
      <c r="J9" s="21">
        <f t="shared" si="3"/>
        <v>193695.7</v>
      </c>
      <c r="K9" s="242">
        <f t="shared" si="3"/>
        <v>254652.52781322313</v>
      </c>
      <c r="L9" s="242">
        <f t="shared" si="3"/>
        <v>305739.36782114778</v>
      </c>
      <c r="M9" s="242">
        <f t="shared" si="3"/>
        <v>365511.49826691323</v>
      </c>
      <c r="N9" s="242">
        <f t="shared" si="3"/>
        <v>436962.90617813921</v>
      </c>
      <c r="O9" s="242">
        <f t="shared" si="3"/>
        <v>524625.63333521085</v>
      </c>
      <c r="P9" s="233"/>
    </row>
    <row r="10" spans="1:16" x14ac:dyDescent="0.25">
      <c r="A10" t="s">
        <v>42</v>
      </c>
      <c r="D10" s="236">
        <v>190.93</v>
      </c>
      <c r="E10" s="236">
        <v>341.79</v>
      </c>
      <c r="F10" s="236">
        <v>559.94000000000005</v>
      </c>
      <c r="G10" s="236">
        <v>589.63</v>
      </c>
      <c r="H10" s="236">
        <v>817.1</v>
      </c>
      <c r="I10" s="236">
        <v>1147.82</v>
      </c>
      <c r="J10" s="236">
        <v>1238.32</v>
      </c>
      <c r="K10" s="232">
        <f>'Cost Matrix'!K32</f>
        <v>1393.4795249677659</v>
      </c>
      <c r="L10" s="232">
        <f>'Cost Matrix'!L32</f>
        <v>1699.043791220932</v>
      </c>
      <c r="M10" s="232">
        <f>'Cost Matrix'!M32</f>
        <v>2060.982620223484</v>
      </c>
      <c r="N10" s="232">
        <f>'Cost Matrix'!N32</f>
        <v>2497.8845363066225</v>
      </c>
      <c r="O10" s="232">
        <f>'Cost Matrix'!O32</f>
        <v>3037.9447082531278</v>
      </c>
      <c r="P10" s="233"/>
    </row>
    <row r="11" spans="1:16" x14ac:dyDescent="0.25">
      <c r="A11" t="s">
        <v>43</v>
      </c>
      <c r="D11" s="236">
        <v>-1.1000000000000001</v>
      </c>
      <c r="E11" s="236">
        <v>-6.83</v>
      </c>
      <c r="F11" s="236">
        <v>-18.649999999999999</v>
      </c>
      <c r="G11" s="236">
        <v>7.06</v>
      </c>
      <c r="H11" s="236">
        <v>-31.72</v>
      </c>
      <c r="I11" s="236">
        <v>-11.32</v>
      </c>
      <c r="J11" s="236">
        <v>-2.94</v>
      </c>
      <c r="K11" s="233"/>
      <c r="L11" s="233"/>
      <c r="M11" s="233"/>
      <c r="N11" s="233"/>
      <c r="O11" s="233"/>
      <c r="P11" s="233"/>
    </row>
    <row r="12" spans="1:16" x14ac:dyDescent="0.25">
      <c r="A12" t="s">
        <v>44</v>
      </c>
      <c r="D12" s="237">
        <v>2930.16</v>
      </c>
      <c r="E12" s="237">
        <v>5118.6000000000004</v>
      </c>
      <c r="F12" s="237">
        <v>6904.52</v>
      </c>
      <c r="G12" s="237">
        <v>9211.08</v>
      </c>
      <c r="H12" s="237">
        <v>11886.91</v>
      </c>
      <c r="I12" s="237">
        <v>17899.23</v>
      </c>
      <c r="J12" s="237">
        <v>20481.900000000001</v>
      </c>
      <c r="K12" s="232">
        <f>'Cost Matrix'!K35</f>
        <v>24385.891686935902</v>
      </c>
      <c r="L12" s="232">
        <f>'Cost Matrix'!L35</f>
        <v>29733.266346366308</v>
      </c>
      <c r="M12" s="232">
        <f>'Cost Matrix'!M35</f>
        <v>36067.195853910969</v>
      </c>
      <c r="N12" s="232">
        <f>'Cost Matrix'!N35</f>
        <v>43712.979385365892</v>
      </c>
      <c r="O12" s="232">
        <f>'Cost Matrix'!O35</f>
        <v>53164.032394429734</v>
      </c>
      <c r="P12" s="233"/>
    </row>
    <row r="13" spans="1:16" x14ac:dyDescent="0.25">
      <c r="A13" t="s">
        <v>45</v>
      </c>
      <c r="D13" s="237">
        <v>8783.7199999999993</v>
      </c>
      <c r="E13" s="237">
        <v>12961.04</v>
      </c>
      <c r="F13" s="237">
        <v>18961.400000000001</v>
      </c>
      <c r="G13" s="237">
        <v>24471.95</v>
      </c>
      <c r="H13" s="237">
        <v>30876.97</v>
      </c>
      <c r="I13" s="237">
        <v>38393.71</v>
      </c>
      <c r="J13" s="237">
        <v>47986.239999999998</v>
      </c>
      <c r="K13" s="232">
        <f>'Cost Matrix'!K41</f>
        <v>51094.24924881808</v>
      </c>
      <c r="L13" s="232">
        <f>'Cost Matrix'!L41</f>
        <v>62298.272344767502</v>
      </c>
      <c r="M13" s="232">
        <f>'Cost Matrix'!M41</f>
        <v>75569.362741527744</v>
      </c>
      <c r="N13" s="232">
        <f>'Cost Matrix'!N41</f>
        <v>91589.099664576162</v>
      </c>
      <c r="O13" s="232">
        <f>'Cost Matrix'!O41</f>
        <v>111391.30596928134</v>
      </c>
      <c r="P13" s="233"/>
    </row>
    <row r="14" spans="1:16" x14ac:dyDescent="0.25">
      <c r="A14" t="s">
        <v>51</v>
      </c>
      <c r="D14" s="17">
        <f>SUM(D10:D13)</f>
        <v>11903.71</v>
      </c>
      <c r="E14" s="17">
        <f t="shared" ref="E14:O14" si="4">SUM(E10:E13)</f>
        <v>18414.600000000002</v>
      </c>
      <c r="F14" s="17">
        <f t="shared" si="4"/>
        <v>26407.210000000003</v>
      </c>
      <c r="G14" s="17">
        <f t="shared" si="4"/>
        <v>34279.72</v>
      </c>
      <c r="H14" s="17">
        <f t="shared" si="4"/>
        <v>43549.26</v>
      </c>
      <c r="I14" s="17">
        <f t="shared" si="4"/>
        <v>57429.440000000002</v>
      </c>
      <c r="J14" s="17">
        <f t="shared" si="4"/>
        <v>69703.520000000004</v>
      </c>
      <c r="K14" s="231">
        <f t="shared" si="4"/>
        <v>76873.620460721751</v>
      </c>
      <c r="L14" s="231">
        <f t="shared" si="4"/>
        <v>93730.582482354745</v>
      </c>
      <c r="M14" s="231">
        <f t="shared" si="4"/>
        <v>113697.5412156622</v>
      </c>
      <c r="N14" s="231">
        <f t="shared" si="4"/>
        <v>137799.96358624869</v>
      </c>
      <c r="O14" s="231">
        <f t="shared" si="4"/>
        <v>167593.28307196419</v>
      </c>
      <c r="P14" s="233"/>
    </row>
    <row r="15" spans="1:16" x14ac:dyDescent="0.25">
      <c r="A15" s="1" t="s">
        <v>52</v>
      </c>
      <c r="D15" s="21">
        <f>D9-D14</f>
        <v>27537.86</v>
      </c>
      <c r="E15" s="21">
        <f t="shared" ref="E15:O15" si="5">E9-E14</f>
        <v>38671.599999999991</v>
      </c>
      <c r="F15" s="21">
        <f t="shared" si="5"/>
        <v>67995.12999999999</v>
      </c>
      <c r="G15" s="21">
        <f t="shared" si="5"/>
        <v>80041.459999999992</v>
      </c>
      <c r="H15" s="21">
        <f t="shared" si="5"/>
        <v>99649.929999999964</v>
      </c>
      <c r="I15" s="21">
        <f t="shared" si="5"/>
        <v>108583.57999999999</v>
      </c>
      <c r="J15" s="21">
        <f t="shared" si="5"/>
        <v>123992.18000000001</v>
      </c>
      <c r="K15" s="242">
        <f t="shared" si="5"/>
        <v>177778.90735250138</v>
      </c>
      <c r="L15" s="242">
        <f t="shared" si="5"/>
        <v>212008.78533879304</v>
      </c>
      <c r="M15" s="242">
        <f t="shared" si="5"/>
        <v>251813.95705125103</v>
      </c>
      <c r="N15" s="242">
        <f t="shared" si="5"/>
        <v>299162.94259189052</v>
      </c>
      <c r="O15" s="242">
        <f t="shared" si="5"/>
        <v>357032.35026324668</v>
      </c>
      <c r="P15" s="233"/>
    </row>
    <row r="16" spans="1:16" x14ac:dyDescent="0.25">
      <c r="A16" t="s">
        <v>46</v>
      </c>
      <c r="D16" s="239">
        <v>15213.26</v>
      </c>
      <c r="E16" s="237">
        <v>28735.91</v>
      </c>
      <c r="F16" s="237">
        <v>43126.26</v>
      </c>
      <c r="G16" s="237">
        <v>55133.5</v>
      </c>
      <c r="H16" s="239">
        <v>57484.86</v>
      </c>
      <c r="I16" s="237">
        <v>47793.24</v>
      </c>
      <c r="J16" s="237">
        <v>63415.13</v>
      </c>
      <c r="K16" s="232">
        <f>'Cost Matrix'!K26</f>
        <v>88047.369979556737</v>
      </c>
      <c r="L16" s="232">
        <f>'Cost Matrix'!L26</f>
        <v>109130.02490996422</v>
      </c>
      <c r="M16" s="232">
        <f>'Cost Matrix'!M26</f>
        <v>123622.97355575164</v>
      </c>
      <c r="N16" s="232">
        <f>'Cost Matrix'!N26</f>
        <v>148476.98396386791</v>
      </c>
      <c r="O16" s="232">
        <f>'Cost Matrix'!O26</f>
        <v>178058.98908677121</v>
      </c>
      <c r="P16" s="233"/>
    </row>
    <row r="17" spans="1:16" x14ac:dyDescent="0.25">
      <c r="A17" s="1" t="s">
        <v>53</v>
      </c>
      <c r="B17" s="1"/>
      <c r="C17" s="1"/>
      <c r="D17" s="21">
        <f>D15-D16</f>
        <v>12324.6</v>
      </c>
      <c r="E17" s="21">
        <f t="shared" ref="E17:O17" si="6">E15-E16</f>
        <v>9935.6899999999914</v>
      </c>
      <c r="F17" s="21">
        <f t="shared" si="6"/>
        <v>24868.869999999988</v>
      </c>
      <c r="G17" s="21">
        <f t="shared" si="6"/>
        <v>24907.959999999992</v>
      </c>
      <c r="H17" s="21">
        <f t="shared" si="6"/>
        <v>42165.069999999963</v>
      </c>
      <c r="I17" s="21">
        <f t="shared" si="6"/>
        <v>60790.339999999989</v>
      </c>
      <c r="J17" s="21">
        <f t="shared" si="6"/>
        <v>60577.05000000001</v>
      </c>
      <c r="K17" s="242">
        <f t="shared" si="6"/>
        <v>89731.537372944644</v>
      </c>
      <c r="L17" s="242">
        <f t="shared" si="6"/>
        <v>102878.76042882881</v>
      </c>
      <c r="M17" s="242">
        <f t="shared" si="6"/>
        <v>128190.98349549939</v>
      </c>
      <c r="N17" s="242">
        <f t="shared" si="6"/>
        <v>150685.95862802261</v>
      </c>
      <c r="O17" s="242">
        <f t="shared" si="6"/>
        <v>178973.36117647548</v>
      </c>
      <c r="P17" s="233"/>
    </row>
    <row r="18" spans="1:16" x14ac:dyDescent="0.25">
      <c r="A18" t="s">
        <v>47</v>
      </c>
      <c r="D18" s="239">
        <v>6372.43</v>
      </c>
      <c r="E18" s="237">
        <v>10634.4</v>
      </c>
      <c r="F18" s="237">
        <v>17149.509999999998</v>
      </c>
      <c r="G18" s="237">
        <v>20310.310000000001</v>
      </c>
      <c r="H18" s="19">
        <f>H20-H19</f>
        <v>23075.5</v>
      </c>
      <c r="I18" s="19">
        <f>I20-I19</f>
        <v>29687.48</v>
      </c>
      <c r="J18" s="19">
        <f>J20-J19</f>
        <v>36585.79</v>
      </c>
      <c r="K18" s="243">
        <f>'Cost Matrix'!K28</f>
        <v>41804.385749032976</v>
      </c>
      <c r="L18" s="243">
        <f>'Cost Matrix'!L28</f>
        <v>50121.79184101749</v>
      </c>
      <c r="M18" s="243">
        <f>'Cost Matrix'!M28</f>
        <v>59768.49598648103</v>
      </c>
      <c r="N18" s="243">
        <f>'Cost Matrix'!N28</f>
        <v>71189.709284738739</v>
      </c>
      <c r="O18" s="243">
        <f>'Cost Matrix'!O28</f>
        <v>85062.451831087572</v>
      </c>
      <c r="P18" s="233"/>
    </row>
    <row r="19" spans="1:16" x14ac:dyDescent="0.25">
      <c r="A19" t="s">
        <v>48</v>
      </c>
      <c r="D19" s="239">
        <v>-2273.94</v>
      </c>
      <c r="E19" s="237">
        <v>-2627.25</v>
      </c>
      <c r="F19" s="237">
        <v>-3588.03</v>
      </c>
      <c r="G19" s="237">
        <v>-3607.17</v>
      </c>
      <c r="H19" s="239">
        <v>-3553.12</v>
      </c>
      <c r="I19" s="237">
        <v>-3565.96</v>
      </c>
      <c r="J19" s="237">
        <v>-5332.06</v>
      </c>
      <c r="K19" s="232">
        <f>-Incentive!K8</f>
        <v>-7097.9580000000005</v>
      </c>
      <c r="L19" s="232">
        <f>-Incentive!L8</f>
        <v>-9354.2156400000003</v>
      </c>
      <c r="M19" s="232">
        <f>-Incentive!M8</f>
        <v>-7388.3000972869522</v>
      </c>
      <c r="N19" s="232">
        <f>-Incentive!N8</f>
        <v>-10456.985061643818</v>
      </c>
      <c r="O19" s="232">
        <f>-Incentive!O8</f>
        <v>-13471.176542014284</v>
      </c>
      <c r="P19" s="233"/>
    </row>
    <row r="20" spans="1:16" x14ac:dyDescent="0.25">
      <c r="A20" t="s">
        <v>49</v>
      </c>
      <c r="D20" s="19">
        <f>D18+D19</f>
        <v>4098.49</v>
      </c>
      <c r="E20" s="19">
        <f t="shared" ref="E20:G20" si="7">E18+E19</f>
        <v>8007.15</v>
      </c>
      <c r="F20" s="19">
        <f t="shared" si="7"/>
        <v>13561.479999999998</v>
      </c>
      <c r="G20" s="19">
        <f t="shared" si="7"/>
        <v>16703.14</v>
      </c>
      <c r="H20" s="239">
        <v>19522.38</v>
      </c>
      <c r="I20" s="239">
        <v>26121.52</v>
      </c>
      <c r="J20" s="239">
        <v>31253.73</v>
      </c>
      <c r="K20" s="231">
        <f>K18+K19</f>
        <v>34706.427749032977</v>
      </c>
      <c r="L20" s="231">
        <f t="shared" ref="L20:O20" si="8">L18+L19</f>
        <v>40767.576201017488</v>
      </c>
      <c r="M20" s="231">
        <f t="shared" si="8"/>
        <v>52380.195889194074</v>
      </c>
      <c r="N20" s="231">
        <f t="shared" si="8"/>
        <v>60732.72422309492</v>
      </c>
      <c r="O20" s="231">
        <f t="shared" si="8"/>
        <v>71591.275289073295</v>
      </c>
      <c r="P20" s="233"/>
    </row>
    <row r="21" spans="1:16" x14ac:dyDescent="0.25">
      <c r="A21" s="1" t="s">
        <v>50</v>
      </c>
      <c r="D21" s="21">
        <f>D17-D20</f>
        <v>8226.11</v>
      </c>
      <c r="E21" s="21">
        <f t="shared" ref="E21:J21" si="9">E17-E20</f>
        <v>1928.5399999999918</v>
      </c>
      <c r="F21" s="21">
        <f t="shared" si="9"/>
        <v>11307.38999999999</v>
      </c>
      <c r="G21" s="21">
        <f t="shared" si="9"/>
        <v>8204.8199999999924</v>
      </c>
      <c r="H21" s="21">
        <f t="shared" si="9"/>
        <v>22642.689999999962</v>
      </c>
      <c r="I21" s="21">
        <f t="shared" si="9"/>
        <v>34668.819999999992</v>
      </c>
      <c r="J21" s="21">
        <f t="shared" si="9"/>
        <v>29323.320000000011</v>
      </c>
      <c r="K21" s="242">
        <f t="shared" ref="K21" si="10">K17-K20</f>
        <v>55025.109623911667</v>
      </c>
      <c r="L21" s="242">
        <f t="shared" ref="L21" si="11">L17-L20</f>
        <v>62111.184227811325</v>
      </c>
      <c r="M21" s="242">
        <f t="shared" ref="M21" si="12">M17-M20</f>
        <v>75810.787606305312</v>
      </c>
      <c r="N21" s="242">
        <f t="shared" ref="N21" si="13">N17-N20</f>
        <v>89953.234404927687</v>
      </c>
      <c r="O21" s="242">
        <f t="shared" ref="O21" si="14">O17-O20</f>
        <v>107382.08588740218</v>
      </c>
      <c r="P21" s="233"/>
    </row>
    <row r="22" spans="1:16" x14ac:dyDescent="0.25">
      <c r="A22" t="s">
        <v>54</v>
      </c>
      <c r="D22" s="236">
        <v>628.70000000000005</v>
      </c>
      <c r="E22" s="236">
        <v>665.23</v>
      </c>
      <c r="F22" s="236">
        <v>856.2</v>
      </c>
      <c r="G22" s="236">
        <v>2260.08</v>
      </c>
      <c r="H22" s="236">
        <v>3022.14</v>
      </c>
      <c r="I22" s="236">
        <v>5030.79</v>
      </c>
      <c r="J22" s="236">
        <v>4572.53</v>
      </c>
      <c r="K22" s="232">
        <f>-('Asset Schedule '!K10+'Asset Schedule '!K23)</f>
        <v>4186.4920400000001</v>
      </c>
      <c r="L22" s="232">
        <f>-('Asset Schedule '!L10+'Asset Schedule '!L23)</f>
        <v>4809.7753979199997</v>
      </c>
      <c r="M22" s="232">
        <f>-('Asset Schedule '!M10+'Asset Schedule '!M23)</f>
        <v>5383.58170415936</v>
      </c>
      <c r="N22" s="232">
        <f>-('Asset Schedule '!N10+'Asset Schedule '!N23)</f>
        <v>5921.2152202285388</v>
      </c>
      <c r="O22" s="232">
        <f>-('Asset Schedule '!O10+'Asset Schedule '!O23)</f>
        <v>6431.0802190215809</v>
      </c>
      <c r="P22" s="233"/>
    </row>
    <row r="23" spans="1:16" x14ac:dyDescent="0.25">
      <c r="A23" s="1" t="s">
        <v>55</v>
      </c>
      <c r="B23" s="1"/>
      <c r="C23" s="1"/>
      <c r="D23" s="21">
        <f>D21-D22</f>
        <v>7597.4100000000008</v>
      </c>
      <c r="E23" s="21">
        <f t="shared" ref="E23:J23" si="15">E21-E22</f>
        <v>1263.3099999999918</v>
      </c>
      <c r="F23" s="21">
        <f t="shared" si="15"/>
        <v>10451.18999999999</v>
      </c>
      <c r="G23" s="21">
        <f t="shared" si="15"/>
        <v>5944.7399999999925</v>
      </c>
      <c r="H23" s="21">
        <f t="shared" si="15"/>
        <v>19620.549999999963</v>
      </c>
      <c r="I23" s="21">
        <f t="shared" si="15"/>
        <v>29638.029999999992</v>
      </c>
      <c r="J23" s="21">
        <f t="shared" si="15"/>
        <v>24750.790000000012</v>
      </c>
      <c r="K23" s="242">
        <f>K21-K22</f>
        <v>50838.617583911669</v>
      </c>
      <c r="L23" s="242">
        <f t="shared" ref="L23" si="16">L21-L22</f>
        <v>57301.408829891327</v>
      </c>
      <c r="M23" s="242">
        <f t="shared" ref="M23" si="17">M21-M22</f>
        <v>70427.205902145957</v>
      </c>
      <c r="N23" s="242">
        <f t="shared" ref="N23" si="18">N21-N22</f>
        <v>84032.019184699151</v>
      </c>
      <c r="O23" s="242">
        <f t="shared" ref="O23" si="19">O21-O22</f>
        <v>100951.0056683806</v>
      </c>
      <c r="P23" s="233"/>
    </row>
    <row r="24" spans="1:16" x14ac:dyDescent="0.25">
      <c r="A24" t="s">
        <v>56</v>
      </c>
      <c r="D24" s="236">
        <v>449.91</v>
      </c>
      <c r="E24" s="236">
        <v>514.27</v>
      </c>
      <c r="F24" s="236">
        <v>578.01</v>
      </c>
      <c r="G24" s="236">
        <v>1225.77</v>
      </c>
      <c r="H24" s="236">
        <v>1155.32</v>
      </c>
      <c r="I24" s="236">
        <v>1348.53</v>
      </c>
      <c r="J24" s="236">
        <v>3307.8</v>
      </c>
      <c r="K24" s="232">
        <f>'Debt schedule'!K12</f>
        <v>1527.28125</v>
      </c>
      <c r="L24" s="232">
        <f>'Debt schedule'!L12</f>
        <v>2111.6100750000001</v>
      </c>
      <c r="M24" s="232">
        <f>'Debt schedule'!M12</f>
        <v>2541.0398249999994</v>
      </c>
      <c r="N24" s="232">
        <f>'Debt schedule'!N12</f>
        <v>2962.1895749999999</v>
      </c>
      <c r="O24" s="232">
        <f>'Debt schedule'!O12</f>
        <v>3375.0593249999993</v>
      </c>
      <c r="P24" s="233"/>
    </row>
    <row r="25" spans="1:16" x14ac:dyDescent="0.25">
      <c r="A25" s="1" t="s">
        <v>57</v>
      </c>
      <c r="D25" s="20">
        <f t="shared" ref="D25:O25" si="20">D23-D24</f>
        <v>7147.5000000000009</v>
      </c>
      <c r="E25" s="20">
        <f t="shared" si="20"/>
        <v>749.03999999999178</v>
      </c>
      <c r="F25" s="20">
        <f t="shared" si="20"/>
        <v>9873.1799999999894</v>
      </c>
      <c r="G25" s="20">
        <f t="shared" si="20"/>
        <v>4718.9699999999921</v>
      </c>
      <c r="H25" s="20">
        <f t="shared" si="20"/>
        <v>18465.229999999963</v>
      </c>
      <c r="I25" s="20">
        <f t="shared" si="20"/>
        <v>28289.499999999993</v>
      </c>
      <c r="J25" s="20">
        <f t="shared" si="20"/>
        <v>21442.990000000013</v>
      </c>
      <c r="K25" s="243">
        <f t="shared" si="20"/>
        <v>49311.336333911669</v>
      </c>
      <c r="L25" s="243">
        <f t="shared" si="20"/>
        <v>55189.79875489133</v>
      </c>
      <c r="M25" s="243">
        <f t="shared" si="20"/>
        <v>67886.166077145957</v>
      </c>
      <c r="N25" s="243">
        <f t="shared" si="20"/>
        <v>81069.829609699154</v>
      </c>
      <c r="O25" s="243">
        <f t="shared" si="20"/>
        <v>97575.946343380609</v>
      </c>
      <c r="P25" s="233"/>
    </row>
    <row r="26" spans="1:16" x14ac:dyDescent="0.25">
      <c r="A26" t="s">
        <v>60</v>
      </c>
      <c r="D26" s="18">
        <f>SUM(D28:D30)</f>
        <v>-1352.85</v>
      </c>
      <c r="E26" s="18">
        <f t="shared" ref="E26:H26" si="21">SUM(E28:E30)</f>
        <v>656.9</v>
      </c>
      <c r="F26" s="18">
        <f t="shared" si="21"/>
        <v>-2039.61</v>
      </c>
      <c r="G26" s="18">
        <f t="shared" si="21"/>
        <v>14.3</v>
      </c>
      <c r="H26" s="18">
        <f t="shared" si="21"/>
        <v>-5423.51</v>
      </c>
      <c r="I26" s="209">
        <f>I28-I30</f>
        <v>-6215.56</v>
      </c>
      <c r="J26" s="18">
        <f>J28-J30</f>
        <v>-4851.5200000000004</v>
      </c>
      <c r="K26" s="231">
        <f>IF(K25&gt;0,-K25*K27,0)</f>
        <v>-10601.937311791009</v>
      </c>
      <c r="L26" s="231">
        <f t="shared" ref="L26:O26" si="22">IF(L25&gt;0,-L25*L27,0)</f>
        <v>-11865.806732301635</v>
      </c>
      <c r="M26" s="231">
        <f t="shared" si="22"/>
        <v>-14595.525706586381</v>
      </c>
      <c r="N26" s="231">
        <f t="shared" si="22"/>
        <v>-17430.013366085317</v>
      </c>
      <c r="O26" s="231">
        <f t="shared" si="22"/>
        <v>-20978.828463826831</v>
      </c>
      <c r="P26" s="233"/>
    </row>
    <row r="27" spans="1:16" s="205" customFormat="1" x14ac:dyDescent="0.25">
      <c r="A27" s="227" t="s">
        <v>399</v>
      </c>
      <c r="B27" s="227"/>
      <c r="C27" s="227"/>
      <c r="D27" s="228">
        <f>-D26/D25</f>
        <v>0.18927597061909754</v>
      </c>
      <c r="E27" s="228">
        <f t="shared" ref="E27:J27" si="23">-E26/E25</f>
        <v>-0.87698921285913589</v>
      </c>
      <c r="F27" s="228">
        <f t="shared" si="23"/>
        <v>0.20658085844682281</v>
      </c>
      <c r="G27" s="228">
        <f t="shared" si="23"/>
        <v>-3.0303222949075804E-3</v>
      </c>
      <c r="H27" s="228">
        <f t="shared" si="23"/>
        <v>0.29371472762592238</v>
      </c>
      <c r="I27" s="228">
        <f t="shared" si="23"/>
        <v>0.21971261422082405</v>
      </c>
      <c r="J27" s="228">
        <f t="shared" si="23"/>
        <v>0.2262520292179401</v>
      </c>
      <c r="K27" s="258">
        <v>0.215</v>
      </c>
      <c r="L27" s="258">
        <v>0.215</v>
      </c>
      <c r="M27" s="258">
        <v>0.215</v>
      </c>
      <c r="N27" s="258">
        <v>0.215</v>
      </c>
      <c r="O27" s="258">
        <v>0.215</v>
      </c>
      <c r="P27" s="233"/>
    </row>
    <row r="28" spans="1:16" x14ac:dyDescent="0.25">
      <c r="A28" t="s">
        <v>61</v>
      </c>
      <c r="D28" s="237">
        <v>-1356.05</v>
      </c>
      <c r="E28" s="237">
        <v>-77.900000000000006</v>
      </c>
      <c r="F28" s="237">
        <v>-1924.25</v>
      </c>
      <c r="G28" s="237">
        <v>-926.35</v>
      </c>
      <c r="H28" s="237">
        <v>-3889.77</v>
      </c>
      <c r="I28" s="237">
        <v>-7303.93</v>
      </c>
      <c r="J28" s="237">
        <v>-4911.51</v>
      </c>
      <c r="K28" s="233"/>
      <c r="L28" s="233"/>
      <c r="M28" s="233"/>
      <c r="N28" s="233"/>
      <c r="O28" s="233"/>
      <c r="P28" s="233"/>
    </row>
    <row r="29" spans="1:16" x14ac:dyDescent="0.25">
      <c r="A29" t="s">
        <v>62</v>
      </c>
      <c r="D29" s="237">
        <v>611.65</v>
      </c>
      <c r="E29" s="237">
        <v>77.900000000000006</v>
      </c>
      <c r="F29" s="237">
        <v>1086.8900000000001</v>
      </c>
      <c r="G29" s="237">
        <v>926.35</v>
      </c>
      <c r="H29" s="237">
        <v>2014.85</v>
      </c>
      <c r="I29" s="237">
        <v>0</v>
      </c>
      <c r="J29" s="237">
        <v>0</v>
      </c>
      <c r="K29" s="233"/>
      <c r="L29" s="233"/>
      <c r="M29" s="233"/>
      <c r="N29" s="233"/>
      <c r="O29" s="233"/>
      <c r="P29" s="233"/>
    </row>
    <row r="30" spans="1:16" x14ac:dyDescent="0.25">
      <c r="A30" t="s">
        <v>63</v>
      </c>
      <c r="D30" s="237">
        <v>-608.45000000000005</v>
      </c>
      <c r="E30" s="237">
        <v>656.9</v>
      </c>
      <c r="F30" s="237">
        <v>-1202.25</v>
      </c>
      <c r="G30" s="237">
        <v>14.3</v>
      </c>
      <c r="H30" s="237">
        <v>-3548.59</v>
      </c>
      <c r="I30" s="237">
        <v>-1088.3699999999999</v>
      </c>
      <c r="J30" s="237">
        <v>-59.99</v>
      </c>
      <c r="K30" s="233"/>
      <c r="L30" s="233"/>
      <c r="M30" s="233"/>
      <c r="N30" s="233"/>
      <c r="O30" s="233"/>
      <c r="P30" s="233"/>
    </row>
    <row r="31" spans="1:16" x14ac:dyDescent="0.25">
      <c r="A31" s="1" t="s">
        <v>64</v>
      </c>
      <c r="B31" s="1"/>
      <c r="C31" s="1"/>
      <c r="D31" s="20">
        <f>D25+D26</f>
        <v>5794.6500000000015</v>
      </c>
      <c r="E31" s="20">
        <f t="shared" ref="E31:O31" si="24">E25+E26</f>
        <v>1405.9399999999919</v>
      </c>
      <c r="F31" s="20">
        <f t="shared" si="24"/>
        <v>7833.5699999999897</v>
      </c>
      <c r="G31" s="20">
        <f t="shared" si="24"/>
        <v>4733.2699999999923</v>
      </c>
      <c r="H31" s="20">
        <f t="shared" si="24"/>
        <v>13041.719999999963</v>
      </c>
      <c r="I31" s="20">
        <f t="shared" si="24"/>
        <v>22073.939999999991</v>
      </c>
      <c r="J31" s="20">
        <f t="shared" si="24"/>
        <v>16591.470000000012</v>
      </c>
      <c r="K31" s="243">
        <f t="shared" si="24"/>
        <v>38709.399022120662</v>
      </c>
      <c r="L31" s="243">
        <f t="shared" si="24"/>
        <v>43323.992022589693</v>
      </c>
      <c r="M31" s="243">
        <f t="shared" si="24"/>
        <v>53290.640370559573</v>
      </c>
      <c r="N31" s="243">
        <f t="shared" si="24"/>
        <v>63639.816243613837</v>
      </c>
      <c r="O31" s="243">
        <f t="shared" si="24"/>
        <v>76597.117879553785</v>
      </c>
      <c r="P31" s="233"/>
    </row>
    <row r="32" spans="1:16" x14ac:dyDescent="0.25">
      <c r="D32" s="31">
        <f t="shared" ref="D32:J32" si="25">D28/D25</f>
        <v>-0.18972367960825459</v>
      </c>
      <c r="E32" s="31">
        <f t="shared" si="25"/>
        <v>-0.10399978639325118</v>
      </c>
      <c r="F32" s="31">
        <f t="shared" si="25"/>
        <v>-0.19489667969185229</v>
      </c>
      <c r="G32" s="31">
        <f t="shared" si="25"/>
        <v>-0.19630343062151309</v>
      </c>
      <c r="H32" s="31">
        <f t="shared" si="25"/>
        <v>-0.2106537530266348</v>
      </c>
      <c r="I32" s="31">
        <f t="shared" si="25"/>
        <v>-0.25818519238586762</v>
      </c>
      <c r="J32" s="31">
        <f t="shared" si="25"/>
        <v>-0.2290496801052464</v>
      </c>
      <c r="K32" s="67"/>
      <c r="L32" s="67"/>
      <c r="M32" s="67"/>
      <c r="N32" s="67"/>
      <c r="O32" s="67"/>
      <c r="P32" s="233"/>
    </row>
    <row r="33" spans="1:11" ht="29.25" customHeight="1" x14ac:dyDescent="0.25">
      <c r="A33" s="27" t="s">
        <v>67</v>
      </c>
      <c r="D33" s="22"/>
      <c r="E33" s="22"/>
      <c r="F33" s="22"/>
      <c r="G33" s="22"/>
      <c r="H33" s="22"/>
      <c r="I33" s="22"/>
      <c r="J33" s="22"/>
    </row>
    <row r="34" spans="1:11" x14ac:dyDescent="0.25">
      <c r="A34" t="s">
        <v>65</v>
      </c>
      <c r="D34" s="237">
        <v>18875</v>
      </c>
      <c r="E34" s="237">
        <v>4580</v>
      </c>
      <c r="F34" s="237">
        <v>25517</v>
      </c>
      <c r="G34" s="237">
        <v>15418</v>
      </c>
      <c r="H34" s="238">
        <v>42.48</v>
      </c>
      <c r="I34" s="238">
        <v>58.17</v>
      </c>
      <c r="J34" s="238">
        <v>45.94</v>
      </c>
    </row>
    <row r="35" spans="1:11" x14ac:dyDescent="0.25">
      <c r="A35" t="s">
        <v>66</v>
      </c>
      <c r="D35" s="237">
        <v>16859</v>
      </c>
      <c r="E35" s="237">
        <v>4090</v>
      </c>
      <c r="F35" s="237">
        <v>22791</v>
      </c>
      <c r="G35" s="237">
        <v>13771</v>
      </c>
      <c r="H35" s="238">
        <v>37.94</v>
      </c>
      <c r="I35" s="238">
        <v>56.49</v>
      </c>
      <c r="J35" s="238">
        <v>45.85</v>
      </c>
    </row>
    <row r="37" spans="1:11" x14ac:dyDescent="0.25">
      <c r="D37" s="160"/>
      <c r="E37" s="160"/>
      <c r="F37" s="160"/>
      <c r="G37" s="160"/>
      <c r="H37" s="160"/>
      <c r="I37" s="160"/>
      <c r="J37" s="160"/>
    </row>
    <row r="38" spans="1:11" x14ac:dyDescent="0.25">
      <c r="D38" s="18"/>
      <c r="E38" s="18"/>
      <c r="F38" s="18"/>
      <c r="G38" s="18"/>
      <c r="H38" s="18"/>
      <c r="I38" s="18"/>
      <c r="J38" s="18"/>
    </row>
    <row r="39" spans="1:11" x14ac:dyDescent="0.25">
      <c r="D39" s="22"/>
      <c r="E39" s="22"/>
      <c r="F39" s="22"/>
      <c r="G39" s="22"/>
      <c r="H39" s="22"/>
      <c r="I39" s="22"/>
      <c r="J39" s="22"/>
      <c r="K39" s="22"/>
    </row>
    <row r="40" spans="1:11" x14ac:dyDescent="0.25">
      <c r="D40" s="22"/>
      <c r="E40" s="22"/>
      <c r="F40" s="22"/>
      <c r="G40" s="22"/>
      <c r="H40" s="22"/>
      <c r="I40" s="22"/>
      <c r="J40" s="22"/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K18" sqref="K18:O18"/>
    </sheetView>
  </sheetViews>
  <sheetFormatPr defaultRowHeight="15" x14ac:dyDescent="0.25"/>
  <cols>
    <col min="1" max="1" width="33.28515625" style="205" customWidth="1"/>
    <col min="2" max="2" width="1.85546875" style="205" customWidth="1"/>
    <col min="3" max="3" width="1.28515625" style="205" customWidth="1"/>
    <col min="4" max="4" width="10.85546875" style="205" customWidth="1"/>
    <col min="5" max="7" width="9.140625" style="205"/>
    <col min="8" max="8" width="9.42578125" style="205" customWidth="1"/>
    <col min="9" max="10" width="9.140625" style="205"/>
    <col min="11" max="11" width="10" style="205" bestFit="1" customWidth="1"/>
    <col min="12" max="16384" width="9.140625" style="205"/>
  </cols>
  <sheetData>
    <row r="1" spans="1:18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8" x14ac:dyDescent="0.25">
      <c r="A2" s="1" t="s">
        <v>1</v>
      </c>
    </row>
    <row r="3" spans="1:18" x14ac:dyDescent="0.25">
      <c r="A3" s="205" t="s">
        <v>2</v>
      </c>
    </row>
    <row r="4" spans="1:18" x14ac:dyDescent="0.25">
      <c r="A4" s="205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8" x14ac:dyDescent="0.25">
      <c r="A5" s="8" t="s">
        <v>4</v>
      </c>
      <c r="B5" s="5"/>
      <c r="C5" s="8"/>
      <c r="D5" s="235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8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8" x14ac:dyDescent="0.25">
      <c r="A7" s="1" t="s">
        <v>382</v>
      </c>
    </row>
    <row r="8" spans="1:18" x14ac:dyDescent="0.25">
      <c r="A8" s="205" t="s">
        <v>107</v>
      </c>
      <c r="D8" s="19"/>
      <c r="E8" s="19"/>
      <c r="F8" s="19"/>
      <c r="G8" s="19"/>
      <c r="H8" s="239">
        <f>44154.12-4746.92</f>
        <v>39407.200000000004</v>
      </c>
      <c r="I8" s="237">
        <f>H12</f>
        <v>48664.02</v>
      </c>
      <c r="J8" s="237">
        <f t="shared" ref="J8:O8" si="3">I12</f>
        <v>46755.15</v>
      </c>
      <c r="K8" s="209">
        <f t="shared" si="3"/>
        <v>37474.720000000001</v>
      </c>
      <c r="L8" s="209">
        <f t="shared" si="3"/>
        <v>43402.957760000005</v>
      </c>
      <c r="M8" s="209">
        <f t="shared" si="3"/>
        <v>49083.445646080007</v>
      </c>
      <c r="N8" s="209">
        <f t="shared" si="3"/>
        <v>54538.976646640644</v>
      </c>
      <c r="O8" s="209">
        <f t="shared" si="3"/>
        <v>59790.246795149702</v>
      </c>
    </row>
    <row r="9" spans="1:18" x14ac:dyDescent="0.25">
      <c r="A9" s="205" t="s">
        <v>383</v>
      </c>
      <c r="H9" s="237">
        <v>10776.51</v>
      </c>
      <c r="I9" s="237">
        <v>1944.73</v>
      </c>
      <c r="J9" s="237">
        <v>2017.57</v>
      </c>
      <c r="K9" s="209">
        <f>K15</f>
        <v>9828</v>
      </c>
      <c r="L9" s="209">
        <f>L15</f>
        <v>10140</v>
      </c>
      <c r="M9" s="209">
        <f>M15</f>
        <v>10452</v>
      </c>
      <c r="N9" s="209">
        <f>N15</f>
        <v>10764</v>
      </c>
      <c r="O9" s="209">
        <f>O15</f>
        <v>11076</v>
      </c>
    </row>
    <row r="10" spans="1:18" x14ac:dyDescent="0.25">
      <c r="A10" s="205" t="s">
        <v>265</v>
      </c>
      <c r="D10" s="17"/>
      <c r="E10" s="17"/>
      <c r="F10" s="17"/>
      <c r="G10" s="17"/>
      <c r="H10" s="237">
        <v>-2941.52</v>
      </c>
      <c r="I10" s="237">
        <v>-4913.8100000000004</v>
      </c>
      <c r="J10" s="237">
        <v>-4398.09</v>
      </c>
      <c r="K10" s="17">
        <f>(K8+K9/2)*K18</f>
        <v>-3899.76224</v>
      </c>
      <c r="L10" s="17">
        <f t="shared" ref="L10:O10" si="4">(L8+L9/2)*L18</f>
        <v>-4459.51211392</v>
      </c>
      <c r="M10" s="17">
        <f t="shared" si="4"/>
        <v>-4996.4689994393602</v>
      </c>
      <c r="N10" s="17">
        <f t="shared" si="4"/>
        <v>-5512.7298514909389</v>
      </c>
      <c r="O10" s="17">
        <f t="shared" si="4"/>
        <v>-6010.1987051537726</v>
      </c>
    </row>
    <row r="11" spans="1:18" x14ac:dyDescent="0.25">
      <c r="A11" s="205" t="s">
        <v>266</v>
      </c>
      <c r="E11" s="31"/>
      <c r="F11" s="31"/>
      <c r="G11" s="31"/>
      <c r="H11" s="209">
        <f>H12-SUM(H8:H10)</f>
        <v>1421.8299999999872</v>
      </c>
      <c r="I11" s="209">
        <f>I12-SUM(I8:I10)</f>
        <v>1060.2099999999991</v>
      </c>
      <c r="J11" s="209"/>
      <c r="K11" s="17"/>
      <c r="L11" s="17"/>
      <c r="M11" s="17"/>
      <c r="N11" s="17"/>
      <c r="O11" s="17"/>
    </row>
    <row r="12" spans="1:18" x14ac:dyDescent="0.25">
      <c r="A12" s="205" t="s">
        <v>108</v>
      </c>
      <c r="H12" s="237">
        <v>48664.02</v>
      </c>
      <c r="I12" s="237">
        <v>46755.15</v>
      </c>
      <c r="J12" s="237">
        <v>37474.720000000001</v>
      </c>
      <c r="K12" s="209">
        <f>SUM(K8:K11)</f>
        <v>43402.957760000005</v>
      </c>
      <c r="L12" s="209">
        <f t="shared" ref="L12:O12" si="5">SUM(L8:L11)</f>
        <v>49083.445646080007</v>
      </c>
      <c r="M12" s="209">
        <f t="shared" si="5"/>
        <v>54538.976646640644</v>
      </c>
      <c r="N12" s="209">
        <f t="shared" si="5"/>
        <v>59790.246795149702</v>
      </c>
      <c r="O12" s="209">
        <f t="shared" si="5"/>
        <v>64856.048089995922</v>
      </c>
      <c r="R12" s="205">
        <v>26</v>
      </c>
    </row>
    <row r="13" spans="1:18" x14ac:dyDescent="0.25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8" x14ac:dyDescent="0.25">
      <c r="A14" s="205" t="s">
        <v>384</v>
      </c>
      <c r="H14" s="238">
        <v>4</v>
      </c>
      <c r="K14" s="210">
        <v>6</v>
      </c>
      <c r="L14" s="210">
        <v>6</v>
      </c>
      <c r="M14" s="210">
        <v>6</v>
      </c>
      <c r="N14" s="210">
        <v>6</v>
      </c>
      <c r="O14" s="210">
        <v>6</v>
      </c>
    </row>
    <row r="15" spans="1:18" x14ac:dyDescent="0.25">
      <c r="A15" s="205" t="s">
        <v>385</v>
      </c>
      <c r="H15" s="236">
        <v>9859.51</v>
      </c>
      <c r="K15" s="205">
        <f>K14*K16</f>
        <v>9828</v>
      </c>
      <c r="L15" s="205">
        <f t="shared" ref="L15:O15" si="6">L14*L16</f>
        <v>10140</v>
      </c>
      <c r="M15" s="205">
        <f t="shared" si="6"/>
        <v>10452</v>
      </c>
      <c r="N15" s="205">
        <f t="shared" si="6"/>
        <v>10764</v>
      </c>
      <c r="O15" s="205">
        <f t="shared" si="6"/>
        <v>11076</v>
      </c>
      <c r="Q15" s="205">
        <v>800</v>
      </c>
    </row>
    <row r="16" spans="1:18" x14ac:dyDescent="0.25">
      <c r="A16" s="205" t="s">
        <v>386</v>
      </c>
      <c r="H16" s="17">
        <f>H15/H14</f>
        <v>2464.8775000000001</v>
      </c>
      <c r="K16" s="15">
        <f>26*'Cost Matrix'!R13</f>
        <v>1638</v>
      </c>
      <c r="L16" s="291">
        <f>26*'Cost Matrix'!S13</f>
        <v>1690</v>
      </c>
      <c r="M16" s="291">
        <f>26*'Cost Matrix'!T13</f>
        <v>1742</v>
      </c>
      <c r="N16" s="291">
        <f>26*'Cost Matrix'!U13</f>
        <v>1794</v>
      </c>
      <c r="O16" s="291">
        <f>26*'Cost Matrix'!V13</f>
        <v>1846</v>
      </c>
      <c r="Q16" s="205">
        <v>26</v>
      </c>
    </row>
    <row r="17" spans="1:17" x14ac:dyDescent="0.25">
      <c r="Q17" s="205">
        <f>Q15/Q16</f>
        <v>30.76923076923077</v>
      </c>
    </row>
    <row r="18" spans="1:17" x14ac:dyDescent="0.25">
      <c r="A18" s="205" t="s">
        <v>387</v>
      </c>
      <c r="H18" s="34">
        <f>H10/(H8+H9/2)</f>
        <v>-6.5665590404205068E-2</v>
      </c>
      <c r="I18" s="34">
        <f t="shared" ref="I18:J18" si="7">I10/(I8+I9/2)</f>
        <v>-9.8996129552947926E-2</v>
      </c>
      <c r="J18" s="34">
        <f t="shared" si="7"/>
        <v>-9.2079725005906651E-2</v>
      </c>
      <c r="K18" s="35">
        <v>-9.1999999999999998E-2</v>
      </c>
      <c r="L18" s="35">
        <v>-9.1999999999999998E-2</v>
      </c>
      <c r="M18" s="35">
        <v>-9.1999999999999998E-2</v>
      </c>
      <c r="N18" s="35">
        <v>-9.1999999999999998E-2</v>
      </c>
      <c r="O18" s="35">
        <v>-9.1999999999999998E-2</v>
      </c>
    </row>
    <row r="20" spans="1:17" x14ac:dyDescent="0.25">
      <c r="A20" s="1" t="s">
        <v>388</v>
      </c>
    </row>
    <row r="21" spans="1:17" x14ac:dyDescent="0.25">
      <c r="A21" s="205" t="s">
        <v>107</v>
      </c>
      <c r="H21" s="247">
        <f>350.44-197.98</f>
        <v>152.46</v>
      </c>
      <c r="I21" s="248">
        <f>H25</f>
        <v>96.37</v>
      </c>
      <c r="J21" s="248">
        <f t="shared" ref="J21:O21" si="8">I25</f>
        <v>199.74</v>
      </c>
      <c r="K21" s="226">
        <f t="shared" si="8"/>
        <v>463.69</v>
      </c>
      <c r="L21" s="226">
        <f t="shared" si="8"/>
        <v>614.96019999999999</v>
      </c>
      <c r="M21" s="226">
        <f t="shared" si="8"/>
        <v>702.69691599999999</v>
      </c>
      <c r="N21" s="226">
        <f t="shared" si="8"/>
        <v>753.58421127999986</v>
      </c>
      <c r="O21" s="226">
        <f t="shared" si="8"/>
        <v>783.09884254240001</v>
      </c>
    </row>
    <row r="22" spans="1:17" x14ac:dyDescent="0.25">
      <c r="A22" s="205" t="s">
        <v>383</v>
      </c>
      <c r="H22" s="247">
        <v>24.52</v>
      </c>
      <c r="I22" s="236">
        <v>220.36</v>
      </c>
      <c r="J22" s="237">
        <v>438.39</v>
      </c>
      <c r="K22" s="15">
        <v>438</v>
      </c>
      <c r="L22" s="15">
        <v>438</v>
      </c>
      <c r="M22" s="15">
        <v>438</v>
      </c>
      <c r="N22" s="15">
        <v>438</v>
      </c>
      <c r="O22" s="15">
        <v>438</v>
      </c>
    </row>
    <row r="23" spans="1:17" x14ac:dyDescent="0.25">
      <c r="A23" s="205" t="s">
        <v>389</v>
      </c>
      <c r="H23" s="247">
        <v>-80.62</v>
      </c>
      <c r="I23" s="236">
        <v>-116.98</v>
      </c>
      <c r="J23" s="236">
        <v>-174.44</v>
      </c>
      <c r="K23" s="17">
        <f>(K21+K22/2)*K27</f>
        <v>-286.72980000000001</v>
      </c>
      <c r="L23" s="17">
        <f t="shared" ref="L23:O23" si="9">(L21+L22/2)*L27</f>
        <v>-350.263284</v>
      </c>
      <c r="M23" s="17">
        <f t="shared" si="9"/>
        <v>-387.11270471999995</v>
      </c>
      <c r="N23" s="17">
        <f t="shared" si="9"/>
        <v>-408.48536873759991</v>
      </c>
      <c r="O23" s="17">
        <f t="shared" si="9"/>
        <v>-420.881513867808</v>
      </c>
    </row>
    <row r="24" spans="1:17" x14ac:dyDescent="0.25">
      <c r="A24" s="205" t="s">
        <v>266</v>
      </c>
      <c r="H24" s="14">
        <f>H25-SUM(H21:H23)</f>
        <v>9.9999999999909051E-3</v>
      </c>
      <c r="I24" s="14">
        <f t="shared" ref="I24:J24" si="10">I25-SUM(I21:I23)</f>
        <v>-9.9999999999909051E-3</v>
      </c>
      <c r="J24" s="14">
        <f t="shared" si="10"/>
        <v>0</v>
      </c>
    </row>
    <row r="25" spans="1:17" x14ac:dyDescent="0.25">
      <c r="A25" s="205" t="s">
        <v>108</v>
      </c>
      <c r="H25" s="247">
        <v>96.37</v>
      </c>
      <c r="I25" s="236">
        <v>199.74</v>
      </c>
      <c r="J25" s="236">
        <v>463.69</v>
      </c>
      <c r="K25" s="226">
        <f>SUM(K21:K24)</f>
        <v>614.96019999999999</v>
      </c>
      <c r="L25" s="226">
        <f t="shared" ref="L25:O25" si="11">SUM(L21:L24)</f>
        <v>702.69691599999999</v>
      </c>
      <c r="M25" s="226">
        <f t="shared" si="11"/>
        <v>753.58421127999986</v>
      </c>
      <c r="N25" s="226">
        <f t="shared" si="11"/>
        <v>783.09884254240001</v>
      </c>
      <c r="O25" s="226">
        <f t="shared" si="11"/>
        <v>800.21732867459195</v>
      </c>
    </row>
    <row r="27" spans="1:17" x14ac:dyDescent="0.25">
      <c r="A27" s="205" t="s">
        <v>267</v>
      </c>
      <c r="H27" s="31">
        <f>H23/(H21+H22/2)</f>
        <v>-0.48943661971830987</v>
      </c>
      <c r="I27" s="31">
        <f t="shared" ref="I27:J27" si="12">I23/(I21+I22/2)</f>
        <v>-0.56635197288792061</v>
      </c>
      <c r="J27" s="31">
        <f t="shared" si="12"/>
        <v>-0.41638917731867714</v>
      </c>
      <c r="K27" s="38">
        <v>-0.42</v>
      </c>
      <c r="L27" s="38">
        <v>-0.42</v>
      </c>
      <c r="M27" s="38">
        <v>-0.42</v>
      </c>
      <c r="N27" s="38">
        <v>-0.42</v>
      </c>
      <c r="O27" s="38">
        <v>-0.42</v>
      </c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6"/>
  <sheetViews>
    <sheetView tabSelected="1" topLeftCell="A18" zoomScale="90" zoomScaleNormal="90" workbookViewId="0">
      <selection activeCell="B43" sqref="B43"/>
    </sheetView>
  </sheetViews>
  <sheetFormatPr defaultRowHeight="15" x14ac:dyDescent="0.25"/>
  <cols>
    <col min="1" max="1" width="33.28515625" customWidth="1"/>
    <col min="2" max="2" width="13.42578125" bestFit="1" customWidth="1"/>
    <col min="3" max="5" width="15.7109375" customWidth="1"/>
    <col min="6" max="6" width="15" customWidth="1"/>
    <col min="7" max="7" width="12.85546875" customWidth="1"/>
    <col min="8" max="8" width="15" customWidth="1"/>
    <col min="9" max="9" width="14.28515625" customWidth="1"/>
    <col min="10" max="10" width="13.7109375" customWidth="1"/>
    <col min="11" max="11" width="14.42578125" customWidth="1"/>
    <col min="12" max="12" width="12.85546875" customWidth="1"/>
    <col min="13" max="13" width="15" customWidth="1"/>
    <col min="14" max="14" width="13.85546875" customWidth="1"/>
    <col min="15" max="15" width="26.140625" bestFit="1" customWidth="1"/>
    <col min="16" max="16" width="8.28515625" bestFit="1" customWidth="1"/>
    <col min="17" max="17" width="11.85546875" bestFit="1" customWidth="1"/>
  </cols>
  <sheetData>
    <row r="1" spans="1:19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>
        <v>1</v>
      </c>
      <c r="K1" s="7">
        <v>2</v>
      </c>
      <c r="L1" s="7">
        <v>3</v>
      </c>
      <c r="M1" s="7">
        <v>4</v>
      </c>
      <c r="N1" s="7">
        <v>5</v>
      </c>
      <c r="O1" s="7"/>
    </row>
    <row r="2" spans="1:19" ht="17.25" customHeight="1" x14ac:dyDescent="0.25">
      <c r="A2" s="1"/>
      <c r="N2" s="179"/>
    </row>
    <row r="3" spans="1:19" s="176" customFormat="1" x14ac:dyDescent="0.25">
      <c r="A3" s="180" t="s">
        <v>355</v>
      </c>
      <c r="B3" s="179"/>
      <c r="C3" s="179"/>
      <c r="D3" s="180" t="s">
        <v>334</v>
      </c>
      <c r="E3" s="180"/>
      <c r="H3" s="180" t="s">
        <v>349</v>
      </c>
      <c r="K3" s="180" t="s">
        <v>360</v>
      </c>
      <c r="N3" s="179"/>
      <c r="O3" s="185" t="s">
        <v>362</v>
      </c>
      <c r="P3" s="185" t="s">
        <v>363</v>
      </c>
      <c r="Q3" s="185" t="s">
        <v>364</v>
      </c>
      <c r="R3" s="185" t="s">
        <v>365</v>
      </c>
      <c r="S3" s="185" t="s">
        <v>368</v>
      </c>
    </row>
    <row r="4" spans="1:19" s="176" customFormat="1" x14ac:dyDescent="0.25">
      <c r="A4" s="179" t="s">
        <v>343</v>
      </c>
      <c r="B4" s="196">
        <v>0.34610000000000002</v>
      </c>
      <c r="C4" s="179"/>
      <c r="D4" s="61" t="s">
        <v>370</v>
      </c>
      <c r="E4" s="61"/>
      <c r="F4" s="200">
        <v>24751.4</v>
      </c>
      <c r="H4" s="61" t="s">
        <v>371</v>
      </c>
      <c r="I4" s="196">
        <v>7.5499999999999998E-2</v>
      </c>
      <c r="K4" s="179" t="s">
        <v>358</v>
      </c>
      <c r="L4" s="179"/>
      <c r="M4" s="203">
        <f>'Assumptions Sheet'!P63</f>
        <v>63160.929857264142</v>
      </c>
      <c r="O4" s="186" t="s">
        <v>366</v>
      </c>
      <c r="P4" s="186">
        <v>4604</v>
      </c>
      <c r="Q4" s="187">
        <f>1.426%+2.75%</f>
        <v>4.1759999999999999E-2</v>
      </c>
      <c r="R4" s="186">
        <v>82</v>
      </c>
      <c r="S4" s="188">
        <f>P4*R4</f>
        <v>377528</v>
      </c>
    </row>
    <row r="5" spans="1:19" s="176" customFormat="1" x14ac:dyDescent="0.25">
      <c r="A5" s="179" t="s">
        <v>352</v>
      </c>
      <c r="B5" s="197">
        <v>0.93</v>
      </c>
      <c r="C5" s="179"/>
      <c r="D5" s="61" t="s">
        <v>335</v>
      </c>
      <c r="E5" s="61"/>
      <c r="F5" s="201">
        <v>3308</v>
      </c>
      <c r="H5" s="61" t="s">
        <v>344</v>
      </c>
      <c r="I5" s="197">
        <f>B9</f>
        <v>0.72456974772938321</v>
      </c>
      <c r="K5" s="179" t="s">
        <v>373</v>
      </c>
      <c r="L5" s="179"/>
      <c r="M5" s="203">
        <f>23301+27478</f>
        <v>50779</v>
      </c>
      <c r="O5" s="186" t="s">
        <v>366</v>
      </c>
      <c r="P5" s="186">
        <v>4035</v>
      </c>
      <c r="Q5" s="187">
        <f>1.426%+2.75%</f>
        <v>4.1759999999999999E-2</v>
      </c>
      <c r="R5" s="186">
        <v>94</v>
      </c>
      <c r="S5" s="188">
        <f>P5*R5</f>
        <v>379290</v>
      </c>
    </row>
    <row r="6" spans="1:19" s="176" customFormat="1" x14ac:dyDescent="0.25">
      <c r="A6" s="179" t="s">
        <v>353</v>
      </c>
      <c r="B6" s="197">
        <v>0.73</v>
      </c>
      <c r="C6" s="179"/>
      <c r="D6" s="61" t="s">
        <v>337</v>
      </c>
      <c r="E6" s="61"/>
      <c r="F6" s="197">
        <v>7.4822853688029021</v>
      </c>
      <c r="H6" s="61" t="s">
        <v>356</v>
      </c>
      <c r="I6" s="196">
        <f>I4+I7</f>
        <v>0.1482</v>
      </c>
      <c r="K6" s="32" t="s">
        <v>361</v>
      </c>
      <c r="L6" s="32"/>
      <c r="M6" s="203">
        <f>F5</f>
        <v>3308</v>
      </c>
      <c r="O6" s="186" t="s">
        <v>366</v>
      </c>
      <c r="P6" s="186">
        <v>3000</v>
      </c>
      <c r="Q6" s="187">
        <f>1.426%+2.75%</f>
        <v>4.1759999999999999E-2</v>
      </c>
      <c r="R6" s="186">
        <v>106</v>
      </c>
      <c r="S6" s="188">
        <f>P6*R6</f>
        <v>318000</v>
      </c>
    </row>
    <row r="7" spans="1:19" s="176" customFormat="1" x14ac:dyDescent="0.25">
      <c r="A7" s="179" t="s">
        <v>350</v>
      </c>
      <c r="B7" s="198">
        <f>B5/(1+((1-B4)*B6))</f>
        <v>0.62950681187290469</v>
      </c>
      <c r="C7" s="179"/>
      <c r="D7" s="61" t="s">
        <v>338</v>
      </c>
      <c r="E7" s="61"/>
      <c r="F7" s="202" t="s">
        <v>339</v>
      </c>
      <c r="H7" s="61" t="s">
        <v>357</v>
      </c>
      <c r="I7" s="196">
        <v>7.2700000000000001E-2</v>
      </c>
      <c r="K7" s="179" t="s">
        <v>372</v>
      </c>
      <c r="L7" s="179"/>
      <c r="M7" s="204">
        <f>S17/(P17*12)</f>
        <v>5.9338876005762282</v>
      </c>
      <c r="O7" s="186" t="s">
        <v>367</v>
      </c>
      <c r="P7" s="188">
        <v>2993</v>
      </c>
      <c r="Q7" s="187">
        <f>1.1%+2.5%</f>
        <v>3.6000000000000004E-2</v>
      </c>
      <c r="R7" s="186">
        <v>12</v>
      </c>
      <c r="S7" s="188">
        <f t="shared" ref="S7:S16" si="0">P7*R7</f>
        <v>35916</v>
      </c>
    </row>
    <row r="8" spans="1:19" s="176" customFormat="1" x14ac:dyDescent="0.25">
      <c r="A8" s="179" t="s">
        <v>351</v>
      </c>
      <c r="B8" s="198">
        <f>B14/B13</f>
        <v>0.23094015411050811</v>
      </c>
      <c r="C8" s="179"/>
      <c r="D8" s="61" t="s">
        <v>336</v>
      </c>
      <c r="E8" s="61"/>
      <c r="F8" s="196">
        <v>7.5499999999999998E-2</v>
      </c>
      <c r="H8" s="178" t="s">
        <v>345</v>
      </c>
      <c r="I8" s="196">
        <f>I4+I5*I7</f>
        <v>0.12817622065992615</v>
      </c>
      <c r="K8" s="179" t="s">
        <v>347</v>
      </c>
      <c r="L8" s="179"/>
      <c r="M8" s="203">
        <f>(M6*((1-(1/(1+F11)^M7))/F11))+(M5/(1+F11)^M7)</f>
        <v>42162.629869036864</v>
      </c>
      <c r="O8" s="186" t="s">
        <v>367</v>
      </c>
      <c r="P8" s="188">
        <v>2995</v>
      </c>
      <c r="Q8" s="187">
        <f t="shared" ref="Q8:Q16" si="1">1.1%+2.5%</f>
        <v>3.6000000000000004E-2</v>
      </c>
      <c r="R8" s="186">
        <v>24</v>
      </c>
      <c r="S8" s="188">
        <f t="shared" si="0"/>
        <v>71880</v>
      </c>
    </row>
    <row r="9" spans="1:19" s="176" customFormat="1" x14ac:dyDescent="0.25">
      <c r="A9" s="179" t="s">
        <v>354</v>
      </c>
      <c r="B9" s="198">
        <f>B7*(1+(1-B4)*(B14/B13))</f>
        <v>0.72456974772938321</v>
      </c>
      <c r="C9" s="179"/>
      <c r="D9" s="61" t="s">
        <v>340</v>
      </c>
      <c r="E9" s="61"/>
      <c r="F9" s="196">
        <v>0.01</v>
      </c>
      <c r="K9" s="179" t="s">
        <v>359</v>
      </c>
      <c r="L9" s="179"/>
      <c r="M9" s="203">
        <f>M8+M4</f>
        <v>105323.559726301</v>
      </c>
      <c r="O9" s="186" t="s">
        <v>367</v>
      </c>
      <c r="P9" s="188">
        <v>2995</v>
      </c>
      <c r="Q9" s="187">
        <f t="shared" si="1"/>
        <v>3.6000000000000004E-2</v>
      </c>
      <c r="R9" s="186">
        <v>36</v>
      </c>
      <c r="S9" s="188">
        <f t="shared" si="0"/>
        <v>107820</v>
      </c>
    </row>
    <row r="10" spans="1:19" s="176" customFormat="1" x14ac:dyDescent="0.25">
      <c r="A10" s="179"/>
      <c r="B10" s="179"/>
      <c r="C10" s="179"/>
      <c r="D10" s="61" t="s">
        <v>341</v>
      </c>
      <c r="E10" s="61"/>
      <c r="F10" s="196">
        <v>1.95E-2</v>
      </c>
      <c r="N10" s="179"/>
      <c r="O10" s="186" t="s">
        <v>367</v>
      </c>
      <c r="P10" s="188">
        <v>2995</v>
      </c>
      <c r="Q10" s="187">
        <f t="shared" si="1"/>
        <v>3.6000000000000004E-2</v>
      </c>
      <c r="R10" s="186">
        <v>48</v>
      </c>
      <c r="S10" s="188">
        <f t="shared" si="0"/>
        <v>143760</v>
      </c>
    </row>
    <row r="11" spans="1:19" s="176" customFormat="1" x14ac:dyDescent="0.25">
      <c r="A11" s="279" t="s">
        <v>429</v>
      </c>
      <c r="B11" s="179"/>
      <c r="C11" s="179"/>
      <c r="D11" s="178" t="s">
        <v>342</v>
      </c>
      <c r="E11" s="178"/>
      <c r="F11" s="196">
        <f>SUM(F8:F10)</f>
        <v>0.105</v>
      </c>
      <c r="N11" s="280"/>
      <c r="O11" s="186" t="s">
        <v>367</v>
      </c>
      <c r="P11" s="188">
        <v>2995</v>
      </c>
      <c r="Q11" s="187">
        <f t="shared" si="1"/>
        <v>3.6000000000000004E-2</v>
      </c>
      <c r="R11" s="186">
        <v>60</v>
      </c>
      <c r="S11" s="188">
        <f t="shared" si="0"/>
        <v>179700</v>
      </c>
    </row>
    <row r="12" spans="1:19" s="176" customFormat="1" x14ac:dyDescent="0.25">
      <c r="A12" s="275" t="s">
        <v>428</v>
      </c>
      <c r="B12" s="276">
        <v>383678176</v>
      </c>
      <c r="N12" s="280"/>
      <c r="O12" s="186" t="s">
        <v>367</v>
      </c>
      <c r="P12" s="188">
        <v>2267.1999999999998</v>
      </c>
      <c r="Q12" s="187">
        <f t="shared" si="1"/>
        <v>3.6000000000000004E-2</v>
      </c>
      <c r="R12" s="186">
        <v>72</v>
      </c>
      <c r="S12" s="188">
        <f t="shared" si="0"/>
        <v>163238.39999999999</v>
      </c>
    </row>
    <row r="13" spans="1:19" s="176" customFormat="1" x14ac:dyDescent="0.25">
      <c r="A13" s="273" t="s">
        <v>346</v>
      </c>
      <c r="B13" s="199">
        <v>456064.3</v>
      </c>
      <c r="N13" s="280"/>
      <c r="O13" s="186" t="s">
        <v>367</v>
      </c>
      <c r="P13" s="188">
        <v>2267.1999999999998</v>
      </c>
      <c r="Q13" s="187">
        <f t="shared" si="1"/>
        <v>3.6000000000000004E-2</v>
      </c>
      <c r="R13" s="186">
        <v>84</v>
      </c>
      <c r="S13" s="188">
        <f t="shared" si="0"/>
        <v>190444.79999999999</v>
      </c>
    </row>
    <row r="14" spans="1:19" x14ac:dyDescent="0.25">
      <c r="A14" s="273" t="s">
        <v>347</v>
      </c>
      <c r="B14" s="199">
        <f>M9</f>
        <v>105323.559726301</v>
      </c>
      <c r="G14" s="176"/>
      <c r="H14" s="176"/>
      <c r="J14" s="176"/>
      <c r="K14" s="176"/>
      <c r="N14" s="280"/>
      <c r="O14" s="186" t="s">
        <v>367</v>
      </c>
      <c r="P14" s="188">
        <v>2267.1999999999998</v>
      </c>
      <c r="Q14" s="187">
        <f t="shared" si="1"/>
        <v>3.6000000000000004E-2</v>
      </c>
      <c r="R14" s="186">
        <v>96</v>
      </c>
      <c r="S14" s="188">
        <f t="shared" si="0"/>
        <v>217651.19999999998</v>
      </c>
    </row>
    <row r="15" spans="1:19" x14ac:dyDescent="0.25">
      <c r="A15" s="272" t="s">
        <v>426</v>
      </c>
      <c r="B15" s="274">
        <f>B13/(B13+B14)</f>
        <v>0.81238717955594841</v>
      </c>
      <c r="N15" s="280"/>
      <c r="O15" s="186" t="s">
        <v>367</v>
      </c>
      <c r="P15" s="188">
        <v>2267.1999999999998</v>
      </c>
      <c r="Q15" s="187">
        <f t="shared" si="1"/>
        <v>3.6000000000000004E-2</v>
      </c>
      <c r="R15" s="186">
        <v>108</v>
      </c>
      <c r="S15" s="188">
        <f t="shared" si="0"/>
        <v>244857.59999999998</v>
      </c>
    </row>
    <row r="16" spans="1:19" ht="15.75" thickBot="1" x14ac:dyDescent="0.3">
      <c r="A16" s="272" t="s">
        <v>427</v>
      </c>
      <c r="B16" s="274">
        <f>B14/(B14+B13)</f>
        <v>0.18761282044405173</v>
      </c>
      <c r="N16" s="280"/>
      <c r="O16" s="189" t="s">
        <v>367</v>
      </c>
      <c r="P16" s="190">
        <v>2267.1999999999998</v>
      </c>
      <c r="Q16" s="191">
        <f t="shared" si="1"/>
        <v>3.6000000000000004E-2</v>
      </c>
      <c r="R16" s="189">
        <v>120</v>
      </c>
      <c r="S16" s="190">
        <f t="shared" si="0"/>
        <v>272064</v>
      </c>
    </row>
    <row r="17" spans="1:28" ht="15.75" thickBot="1" x14ac:dyDescent="0.3">
      <c r="A17" s="178" t="s">
        <v>348</v>
      </c>
      <c r="B17" s="196">
        <f>(I8*(B13/(B13+B14)))+(F11*(1-B4)*(B14/(B13+B14)))</f>
        <v>0.11701012083333666</v>
      </c>
      <c r="N17" s="280"/>
      <c r="O17" s="192" t="s">
        <v>369</v>
      </c>
      <c r="P17" s="192">
        <f>SUM(P4:P16)</f>
        <v>37947.999999999993</v>
      </c>
      <c r="Q17" s="192"/>
      <c r="R17" s="192"/>
      <c r="S17" s="192">
        <f>SUM(S4:S16)</f>
        <v>2702150</v>
      </c>
    </row>
    <row r="18" spans="1:28" s="179" customFormat="1" x14ac:dyDescent="0.25">
      <c r="C18" s="268"/>
      <c r="D18" s="268"/>
      <c r="E18" s="268"/>
      <c r="F18" s="268"/>
      <c r="G18" s="268"/>
      <c r="H18" s="268"/>
      <c r="I18" s="268"/>
      <c r="J18" s="268"/>
      <c r="K18" s="268"/>
      <c r="L18" s="268"/>
      <c r="M18" s="268"/>
      <c r="N18" s="280"/>
      <c r="O18" s="182"/>
      <c r="P18" s="182"/>
      <c r="Q18" s="182"/>
      <c r="R18" s="182"/>
    </row>
    <row r="19" spans="1:28" x14ac:dyDescent="0.25">
      <c r="A19" s="179"/>
      <c r="B19" s="179"/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179"/>
      <c r="N19" s="280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</row>
    <row r="20" spans="1:28" x14ac:dyDescent="0.25">
      <c r="A20" s="8" t="s">
        <v>4</v>
      </c>
      <c r="B20" s="184"/>
      <c r="C20" s="184">
        <v>40633</v>
      </c>
      <c r="D20" s="184">
        <f>EOMONTH(C20,12)</f>
        <v>40999</v>
      </c>
      <c r="E20" s="184">
        <f>EOMONTH(D20,12)</f>
        <v>41364</v>
      </c>
      <c r="F20" s="184">
        <f>EOMONTH(E20,12)</f>
        <v>41729</v>
      </c>
      <c r="G20" s="184">
        <f t="shared" ref="G20:N20" si="2">EOMONTH(F20,12)</f>
        <v>42094</v>
      </c>
      <c r="H20" s="184">
        <f>EOMONTH(G20,12)</f>
        <v>42460</v>
      </c>
      <c r="I20" s="184">
        <f>EOMONTH(H20,12)</f>
        <v>42825</v>
      </c>
      <c r="J20" s="184">
        <f t="shared" si="2"/>
        <v>43190</v>
      </c>
      <c r="K20" s="184">
        <f>EOMONTH(J20,12)</f>
        <v>43555</v>
      </c>
      <c r="L20" s="184">
        <f t="shared" si="2"/>
        <v>43921</v>
      </c>
      <c r="M20" s="184">
        <f t="shared" si="2"/>
        <v>44286</v>
      </c>
      <c r="N20" s="184">
        <f t="shared" si="2"/>
        <v>44651</v>
      </c>
      <c r="O20" s="290"/>
    </row>
    <row r="21" spans="1:28" x14ac:dyDescent="0.25">
      <c r="A21" s="193" t="s">
        <v>5</v>
      </c>
      <c r="B21" s="193"/>
      <c r="C21" s="194">
        <f>YEAR(C20)</f>
        <v>2011</v>
      </c>
      <c r="D21" s="194">
        <f t="shared" ref="D21:H21" si="3">YEAR(D20)</f>
        <v>2012</v>
      </c>
      <c r="E21" s="194">
        <f t="shared" si="3"/>
        <v>2013</v>
      </c>
      <c r="F21" s="194">
        <f t="shared" si="3"/>
        <v>2014</v>
      </c>
      <c r="G21" s="194">
        <f t="shared" si="3"/>
        <v>2015</v>
      </c>
      <c r="H21" s="194">
        <f t="shared" si="3"/>
        <v>2016</v>
      </c>
      <c r="I21" s="194">
        <f>YEAR(I20)</f>
        <v>2017</v>
      </c>
      <c r="J21" s="195">
        <f t="shared" ref="J21:N21" si="4">YEAR(J20)</f>
        <v>2018</v>
      </c>
      <c r="K21" s="195">
        <f t="shared" si="4"/>
        <v>2019</v>
      </c>
      <c r="L21" s="195">
        <f t="shared" si="4"/>
        <v>2020</v>
      </c>
      <c r="M21" s="195">
        <f t="shared" si="4"/>
        <v>2021</v>
      </c>
      <c r="N21" s="195">
        <f t="shared" si="4"/>
        <v>2022</v>
      </c>
      <c r="O21" s="290"/>
      <c r="P21" s="321" t="s">
        <v>348</v>
      </c>
      <c r="Q21" s="322" t="s">
        <v>437</v>
      </c>
      <c r="R21" s="322"/>
      <c r="S21" s="322"/>
      <c r="T21" s="322"/>
      <c r="U21" s="322"/>
      <c r="V21" s="322"/>
      <c r="W21" s="322"/>
      <c r="X21" s="322"/>
      <c r="Y21" s="322"/>
      <c r="Z21" s="322"/>
      <c r="AA21" s="322"/>
      <c r="AB21" s="322"/>
    </row>
    <row r="22" spans="1:28" ht="18.75" x14ac:dyDescent="0.3">
      <c r="B22" s="5"/>
      <c r="C22" s="5"/>
      <c r="D22" s="5"/>
      <c r="H22" s="5"/>
      <c r="K22" s="5"/>
      <c r="P22" s="321"/>
      <c r="Q22" s="259">
        <f>B46</f>
        <v>1697.9937942299334</v>
      </c>
      <c r="R22" s="283">
        <v>0.02</v>
      </c>
      <c r="S22" s="283">
        <f>R22+0.5%</f>
        <v>2.5000000000000001E-2</v>
      </c>
      <c r="T22" s="283">
        <f t="shared" ref="T22:AB22" si="5">S22+0.5%</f>
        <v>3.0000000000000002E-2</v>
      </c>
      <c r="U22" s="283">
        <f t="shared" si="5"/>
        <v>3.5000000000000003E-2</v>
      </c>
      <c r="V22" s="283">
        <f t="shared" si="5"/>
        <v>0.04</v>
      </c>
      <c r="W22" s="283">
        <f t="shared" si="5"/>
        <v>4.4999999999999998E-2</v>
      </c>
      <c r="X22" s="283">
        <f t="shared" si="5"/>
        <v>4.9999999999999996E-2</v>
      </c>
      <c r="Y22" s="283">
        <f t="shared" si="5"/>
        <v>5.4999999999999993E-2</v>
      </c>
      <c r="Z22" s="283">
        <f t="shared" si="5"/>
        <v>5.9999999999999991E-2</v>
      </c>
      <c r="AA22" s="283">
        <f t="shared" si="5"/>
        <v>6.4999999999999988E-2</v>
      </c>
      <c r="AB22" s="283">
        <f t="shared" si="5"/>
        <v>6.9999999999999993E-2</v>
      </c>
    </row>
    <row r="23" spans="1:28" x14ac:dyDescent="0.25">
      <c r="A23" s="207" t="s">
        <v>374</v>
      </c>
      <c r="C23" s="18">
        <f>'Assumptions Sheet'!D32</f>
        <v>39441.700473555487</v>
      </c>
      <c r="D23" s="209">
        <f>'Assumptions Sheet'!E32</f>
        <v>57086.315765150866</v>
      </c>
      <c r="E23" s="209">
        <f>'Assumptions Sheet'!F32</f>
        <v>94402.453283156661</v>
      </c>
      <c r="F23" s="209">
        <f>'Assumptions Sheet'!G32</f>
        <v>114321.3101737246</v>
      </c>
      <c r="G23" s="209">
        <f>'Assumptions Sheet'!H32</f>
        <v>143199.33270296649</v>
      </c>
      <c r="H23" s="209">
        <f>'Assumptions Sheet'!I32</f>
        <v>166013.14773308608</v>
      </c>
      <c r="I23" s="209">
        <f>'Assumptions Sheet'!J32</f>
        <v>193696.16715375718</v>
      </c>
      <c r="J23" s="209">
        <f>'Assumptions Sheet'!K32</f>
        <v>254652.67061822908</v>
      </c>
      <c r="K23" s="209">
        <f>'Assumptions Sheet'!L32</f>
        <v>305739.51122615376</v>
      </c>
      <c r="L23" s="209">
        <f>'Assumptions Sheet'!M32</f>
        <v>365511.63727191917</v>
      </c>
      <c r="M23" s="209">
        <f>'Assumptions Sheet'!N32</f>
        <v>436963.04078314517</v>
      </c>
      <c r="N23" s="209">
        <f>'Assumptions Sheet'!O32</f>
        <v>524625.76854021684</v>
      </c>
      <c r="P23" s="321"/>
      <c r="Q23" s="281">
        <v>0.11</v>
      </c>
      <c r="R23" s="294">
        <f t="dataTable" ref="R23:AB36" dt2D="1" dtr="1" r1="B40" r2="B17"/>
        <v>1727.4565385459362</v>
      </c>
      <c r="S23" s="294">
        <v>1787.6338269701587</v>
      </c>
      <c r="T23" s="294">
        <v>1855.3332764474092</v>
      </c>
      <c r="U23" s="294">
        <v>1932.0593191882931</v>
      </c>
      <c r="V23" s="294">
        <v>2019.7462251778743</v>
      </c>
      <c r="W23" s="294">
        <v>2120.9234243966221</v>
      </c>
      <c r="X23" s="294">
        <v>2238.9634901518284</v>
      </c>
      <c r="Y23" s="294">
        <v>2378.4653860443445</v>
      </c>
      <c r="Z23" s="294">
        <v>2545.8676611153633</v>
      </c>
      <c r="AA23" s="294">
        <v>2750.47044175772</v>
      </c>
      <c r="AB23" s="294">
        <v>3006.223917560666</v>
      </c>
    </row>
    <row r="24" spans="1:28" x14ac:dyDescent="0.25">
      <c r="A24" s="207" t="s">
        <v>53</v>
      </c>
      <c r="C24" s="209">
        <f>'Income statement'!D17</f>
        <v>12324.6</v>
      </c>
      <c r="D24" s="209">
        <f>'Income statement'!E17</f>
        <v>9935.6899999999914</v>
      </c>
      <c r="E24" s="209">
        <f>'Income statement'!F17</f>
        <v>24868.869999999988</v>
      </c>
      <c r="F24" s="209">
        <f>'Income statement'!G17</f>
        <v>24907.959999999992</v>
      </c>
      <c r="G24" s="209">
        <f>'Income statement'!H17</f>
        <v>42165.069999999963</v>
      </c>
      <c r="H24" s="209">
        <f>'Income statement'!I17</f>
        <v>60790.339999999989</v>
      </c>
      <c r="I24" s="209">
        <f>'Income statement'!J17</f>
        <v>60577.05000000001</v>
      </c>
      <c r="J24" s="209">
        <f>'Income statement'!K17</f>
        <v>89731.537372944644</v>
      </c>
      <c r="K24" s="209">
        <f>'Income statement'!L17</f>
        <v>102878.76042882881</v>
      </c>
      <c r="L24" s="209">
        <f>'Income statement'!M17</f>
        <v>128190.98349549939</v>
      </c>
      <c r="M24" s="209">
        <f>'Income statement'!N17</f>
        <v>150685.95862802261</v>
      </c>
      <c r="N24" s="209">
        <f>'Income statement'!O17</f>
        <v>178973.36117647548</v>
      </c>
      <c r="P24" s="321"/>
      <c r="Q24" s="282">
        <f>Q23+0.7%</f>
        <v>0.11699999999999999</v>
      </c>
      <c r="R24" s="294">
        <v>1595.1001691712372</v>
      </c>
      <c r="S24" s="294">
        <v>1643.8488355547086</v>
      </c>
      <c r="T24" s="294">
        <v>1698.2007969247859</v>
      </c>
      <c r="U24" s="294">
        <v>1759.1810462668241</v>
      </c>
      <c r="V24" s="294">
        <v>1828.0808085104256</v>
      </c>
      <c r="W24" s="294">
        <v>1906.5499821767492</v>
      </c>
      <c r="X24" s="294">
        <v>1996.7309728081957</v>
      </c>
      <c r="Y24" s="294">
        <v>2101.4572845092312</v>
      </c>
      <c r="Z24" s="294">
        <v>2224.5566333507986</v>
      </c>
      <c r="AA24" s="294">
        <v>2371.328933892667</v>
      </c>
      <c r="AB24" s="294">
        <v>2549.3293834859978</v>
      </c>
    </row>
    <row r="25" spans="1:28" s="205" customFormat="1" x14ac:dyDescent="0.25">
      <c r="A25" s="208" t="s">
        <v>50</v>
      </c>
      <c r="B25"/>
      <c r="C25" s="209">
        <f>'Income statement'!D21</f>
        <v>8226.11</v>
      </c>
      <c r="D25" s="209">
        <f>'Income statement'!E21</f>
        <v>1928.5399999999918</v>
      </c>
      <c r="E25" s="209">
        <f>'Income statement'!F21</f>
        <v>11307.38999999999</v>
      </c>
      <c r="F25" s="209">
        <f>'Income statement'!G21</f>
        <v>8204.8199999999924</v>
      </c>
      <c r="G25" s="209">
        <f>'Income statement'!H21</f>
        <v>22642.689999999962</v>
      </c>
      <c r="H25" s="209">
        <f>'Income statement'!I21</f>
        <v>34668.819999999992</v>
      </c>
      <c r="I25" s="209">
        <f>'Income statement'!J21</f>
        <v>29323.320000000011</v>
      </c>
      <c r="J25" s="209">
        <f>'Income statement'!K21</f>
        <v>55025.109623911667</v>
      </c>
      <c r="K25" s="209">
        <f>'Income statement'!L21</f>
        <v>62111.184227811325</v>
      </c>
      <c r="L25" s="209">
        <f>'Income statement'!M21</f>
        <v>75810.787606305312</v>
      </c>
      <c r="M25" s="209">
        <f>'Income statement'!N21</f>
        <v>89953.234404927687</v>
      </c>
      <c r="N25" s="209">
        <f>'Income statement'!O21</f>
        <v>107382.08588740218</v>
      </c>
      <c r="P25" s="321"/>
      <c r="Q25" s="282">
        <f t="shared" ref="Q25:Q35" si="6">Q24+0.5%</f>
        <v>0.122</v>
      </c>
      <c r="R25" s="294">
        <v>1513.010399909668</v>
      </c>
      <c r="S25" s="294">
        <v>1555.2474171140045</v>
      </c>
      <c r="T25" s="294">
        <v>1602.0754144492473</v>
      </c>
      <c r="U25" s="294">
        <v>1654.2859402138288</v>
      </c>
      <c r="V25" s="294">
        <v>1712.8636032667739</v>
      </c>
      <c r="W25" s="294">
        <v>1779.0487550278933</v>
      </c>
      <c r="X25" s="294">
        <v>1854.4262889780571</v>
      </c>
      <c r="Y25" s="294">
        <v>1941.054201129738</v>
      </c>
      <c r="Z25" s="294">
        <v>2041.6543571768509</v>
      </c>
      <c r="AA25" s="294">
        <v>2159.9036634076683</v>
      </c>
      <c r="AB25" s="294">
        <v>2300.89322083672</v>
      </c>
    </row>
    <row r="26" spans="1:28" x14ac:dyDescent="0.25">
      <c r="A26" s="208" t="s">
        <v>55</v>
      </c>
      <c r="B26" s="205"/>
      <c r="C26" s="209">
        <f>'Income statement'!D23</f>
        <v>7597.4100000000008</v>
      </c>
      <c r="D26" s="209">
        <f>'Income statement'!E23</f>
        <v>1263.3099999999918</v>
      </c>
      <c r="E26" s="209">
        <f>'Income statement'!F23</f>
        <v>10451.18999999999</v>
      </c>
      <c r="F26" s="209">
        <f>'Income statement'!G23</f>
        <v>5944.7399999999925</v>
      </c>
      <c r="G26" s="209">
        <f>'Income statement'!H23</f>
        <v>19620.549999999963</v>
      </c>
      <c r="H26" s="209">
        <f>'Income statement'!I23</f>
        <v>29638.029999999992</v>
      </c>
      <c r="I26" s="209">
        <f>'Income statement'!J23</f>
        <v>24750.790000000012</v>
      </c>
      <c r="J26" s="209">
        <f>'Income statement'!K23</f>
        <v>50838.617583911669</v>
      </c>
      <c r="K26" s="209">
        <f>'Income statement'!L23</f>
        <v>57301.408829891327</v>
      </c>
      <c r="L26" s="209">
        <f>'Income statement'!M23</f>
        <v>70427.205902145957</v>
      </c>
      <c r="M26" s="209">
        <f>'Income statement'!N23</f>
        <v>84032.019184699151</v>
      </c>
      <c r="N26" s="209">
        <f>'Income statement'!O23</f>
        <v>100951.0056683806</v>
      </c>
      <c r="P26" s="321"/>
      <c r="Q26" s="282">
        <f t="shared" si="6"/>
        <v>0.127</v>
      </c>
      <c r="R26" s="294">
        <v>1439.5724561641464</v>
      </c>
      <c r="S26" s="294">
        <v>1476.3600738970138</v>
      </c>
      <c r="T26" s="294">
        <v>1516.9402295404864</v>
      </c>
      <c r="U26" s="294">
        <v>1561.9312716669447</v>
      </c>
      <c r="V26" s="294">
        <v>1612.0936979458702</v>
      </c>
      <c r="W26" s="294">
        <v>1668.3734932832006</v>
      </c>
      <c r="X26" s="294">
        <v>1731.9623529500545</v>
      </c>
      <c r="Y26" s="294">
        <v>1804.3829986817493</v>
      </c>
      <c r="Z26" s="294">
        <v>1887.6126960151898</v>
      </c>
      <c r="AA26" s="294">
        <v>1984.2665380798301</v>
      </c>
      <c r="AB26" s="294">
        <v>2097.8771945417761</v>
      </c>
    </row>
    <row r="27" spans="1:28" x14ac:dyDescent="0.25">
      <c r="A27" s="208" t="s">
        <v>375</v>
      </c>
      <c r="C27" s="209">
        <f>'Income statement'!D26</f>
        <v>-1352.85</v>
      </c>
      <c r="D27" s="209">
        <f>'Income statement'!E26</f>
        <v>656.9</v>
      </c>
      <c r="E27" s="209">
        <f>'Income statement'!F26</f>
        <v>-2039.61</v>
      </c>
      <c r="F27" s="209">
        <f>'Income statement'!G26</f>
        <v>14.3</v>
      </c>
      <c r="G27" s="209">
        <f>'Income statement'!H26</f>
        <v>-5423.51</v>
      </c>
      <c r="H27" s="209">
        <f>'Income statement'!I26</f>
        <v>-6215.56</v>
      </c>
      <c r="I27" s="209">
        <f>'Income statement'!J26</f>
        <v>-4851.5200000000004</v>
      </c>
      <c r="J27" s="209">
        <f>'Income statement'!K26</f>
        <v>-10601.937311791009</v>
      </c>
      <c r="K27" s="209">
        <f>'Income statement'!L26</f>
        <v>-11865.806732301635</v>
      </c>
      <c r="L27" s="209">
        <f>'Income statement'!M26</f>
        <v>-14595.525706586381</v>
      </c>
      <c r="M27" s="209">
        <f>'Income statement'!N26</f>
        <v>-17430.013366085317</v>
      </c>
      <c r="N27" s="209">
        <f>'Income statement'!O26</f>
        <v>-20978.828463826831</v>
      </c>
      <c r="P27" s="321"/>
      <c r="Q27" s="282">
        <f t="shared" si="6"/>
        <v>0.13200000000000001</v>
      </c>
      <c r="R27" s="294">
        <v>1373.5685838139148</v>
      </c>
      <c r="S27" s="294">
        <v>1405.7630491364507</v>
      </c>
      <c r="T27" s="294">
        <v>1441.1138345886473</v>
      </c>
      <c r="U27" s="294">
        <v>1480.1090309122044</v>
      </c>
      <c r="V27" s="294">
        <v>1523.3428355318003</v>
      </c>
      <c r="W27" s="294">
        <v>1571.5460429812345</v>
      </c>
      <c r="X27" s="294">
        <v>1625.6276903635264</v>
      </c>
      <c r="Y27" s="294">
        <v>1686.7329283149475</v>
      </c>
      <c r="Z27" s="294">
        <v>1756.3250048707328</v>
      </c>
      <c r="AA27" s="294">
        <v>1836.3039585243957</v>
      </c>
      <c r="AB27" s="294">
        <v>1929.1827434125214</v>
      </c>
    </row>
    <row r="28" spans="1:28" x14ac:dyDescent="0.25">
      <c r="A28" s="254" t="s">
        <v>376</v>
      </c>
      <c r="B28" s="255"/>
      <c r="C28" s="257">
        <f>'Income statement'!D31</f>
        <v>5794.6500000000015</v>
      </c>
      <c r="D28" s="257">
        <f>'Income statement'!E31</f>
        <v>1405.9399999999919</v>
      </c>
      <c r="E28" s="257">
        <f>'Income statement'!F31</f>
        <v>7833.5699999999897</v>
      </c>
      <c r="F28" s="257">
        <f>'Income statement'!G31</f>
        <v>4733.2699999999923</v>
      </c>
      <c r="G28" s="257">
        <f>'Income statement'!H31</f>
        <v>13041.719999999963</v>
      </c>
      <c r="H28" s="257">
        <f>'Income statement'!I31</f>
        <v>22073.939999999991</v>
      </c>
      <c r="I28" s="257">
        <f>'Income statement'!J31</f>
        <v>16591.470000000012</v>
      </c>
      <c r="J28" s="257">
        <f>'Income statement'!K31</f>
        <v>38709.399022120662</v>
      </c>
      <c r="K28" s="257">
        <f>'Income statement'!L31</f>
        <v>43323.992022589693</v>
      </c>
      <c r="L28" s="257">
        <f>'Income statement'!M31</f>
        <v>53290.640370559573</v>
      </c>
      <c r="M28" s="257">
        <f>'Income statement'!N31</f>
        <v>63639.816243613837</v>
      </c>
      <c r="N28" s="257">
        <f>'Income statement'!O31</f>
        <v>76597.117879553785</v>
      </c>
      <c r="P28" s="321"/>
      <c r="Q28" s="282">
        <f t="shared" si="6"/>
        <v>0.13700000000000001</v>
      </c>
      <c r="R28" s="294">
        <v>1313.9926976650336</v>
      </c>
      <c r="S28" s="294">
        <v>1342.2905054483231</v>
      </c>
      <c r="T28" s="294">
        <v>1373.2329681646306</v>
      </c>
      <c r="U28" s="294">
        <v>1407.2090056570462</v>
      </c>
      <c r="V28" s="294">
        <v>1444.6877274270307</v>
      </c>
      <c r="W28" s="294">
        <v>1486.2402233024484</v>
      </c>
      <c r="X28" s="294">
        <v>1532.5688681290633</v>
      </c>
      <c r="Y28" s="294">
        <v>1584.5473476906309</v>
      </c>
      <c r="Z28" s="294">
        <v>1643.2762791433122</v>
      </c>
      <c r="AA28" s="294">
        <v>1710.1620066310873</v>
      </c>
      <c r="AB28" s="294">
        <v>1787.0306785200232</v>
      </c>
    </row>
    <row r="29" spans="1:28" x14ac:dyDescent="0.25">
      <c r="A29" s="207" t="s">
        <v>377</v>
      </c>
      <c r="C29" s="17">
        <f>'Income statement'!D22</f>
        <v>628.70000000000005</v>
      </c>
      <c r="D29" s="17">
        <f>'Income statement'!E22</f>
        <v>665.23</v>
      </c>
      <c r="E29" s="17">
        <f>'Income statement'!F22</f>
        <v>856.2</v>
      </c>
      <c r="F29" s="17">
        <f>'Income statement'!G22</f>
        <v>2260.08</v>
      </c>
      <c r="G29" s="17">
        <f>'Income statement'!H22</f>
        <v>3022.14</v>
      </c>
      <c r="H29" s="17">
        <f>'Income statement'!I22</f>
        <v>5030.79</v>
      </c>
      <c r="I29" s="17">
        <f>'Income statement'!J22</f>
        <v>4572.53</v>
      </c>
      <c r="J29" s="17">
        <f>'Income statement'!K22</f>
        <v>4186.4920400000001</v>
      </c>
      <c r="K29" s="17">
        <f>'Income statement'!L22</f>
        <v>4809.7753979199997</v>
      </c>
      <c r="L29" s="17">
        <f>'Income statement'!M22</f>
        <v>5383.58170415936</v>
      </c>
      <c r="M29" s="17">
        <f>'Income statement'!N22</f>
        <v>5921.2152202285388</v>
      </c>
      <c r="N29" s="17">
        <f>'Income statement'!O22</f>
        <v>6431.0802190215809</v>
      </c>
      <c r="P29" s="321"/>
      <c r="Q29" s="282">
        <f t="shared" si="6"/>
        <v>0.14200000000000002</v>
      </c>
      <c r="R29" s="294">
        <v>1260.0067926256538</v>
      </c>
      <c r="S29" s="294">
        <v>1284.9791896669863</v>
      </c>
      <c r="T29" s="294">
        <v>1312.1812650155809</v>
      </c>
      <c r="U29" s="294">
        <v>1341.9255903967542</v>
      </c>
      <c r="V29" s="294">
        <v>1374.5860261094149</v>
      </c>
      <c r="W29" s="294">
        <v>1410.6135170501852</v>
      </c>
      <c r="X29" s="294">
        <v>1450.5570396149528</v>
      </c>
      <c r="Y29" s="294">
        <v>1495.0917716699225</v>
      </c>
      <c r="Z29" s="294">
        <v>1545.0575686096456</v>
      </c>
      <c r="AA29" s="294">
        <v>1601.5124300869938</v>
      </c>
      <c r="AB29" s="294">
        <v>1665.8082445473087</v>
      </c>
    </row>
    <row r="30" spans="1:28" x14ac:dyDescent="0.25">
      <c r="A30" s="208" t="s">
        <v>378</v>
      </c>
      <c r="C30" s="17">
        <f>'CashFlow Statement'!D29</f>
        <v>2600.1400000000003</v>
      </c>
      <c r="D30" s="17">
        <f>'CashFlow Statement'!E29</f>
        <v>8535.0299999999988</v>
      </c>
      <c r="E30" s="17">
        <f>'CashFlow Statement'!F29</f>
        <v>9696.27</v>
      </c>
      <c r="F30" s="17">
        <f>'CashFlow Statement'!G29</f>
        <v>11218.920000000002</v>
      </c>
      <c r="G30" s="17">
        <f>'CashFlow Statement'!H29</f>
        <v>7765.16</v>
      </c>
      <c r="H30" s="17">
        <f>'CashFlow Statement'!I29</f>
        <v>3496.8900000000003</v>
      </c>
      <c r="I30" s="17">
        <f>'CashFlow Statement'!J29</f>
        <v>21135.19</v>
      </c>
      <c r="J30" s="17">
        <f>'CashFlow Statement'!K29</f>
        <v>5196.8743842900476</v>
      </c>
      <c r="K30" s="17">
        <f>'CashFlow Statement'!L29</f>
        <v>10131.969461419696</v>
      </c>
      <c r="L30" s="17">
        <f>'CashFlow Statement'!M29</f>
        <v>6889.0252069335256</v>
      </c>
      <c r="M30" s="17">
        <f>'CashFlow Statement'!N29</f>
        <v>14124.677248405878</v>
      </c>
      <c r="N30" s="17">
        <f>'CashFlow Statement'!O29</f>
        <v>16643.371707151418</v>
      </c>
      <c r="P30" s="321"/>
      <c r="Q30" s="282">
        <f t="shared" si="6"/>
        <v>0.14700000000000002</v>
      </c>
      <c r="R30" s="294">
        <v>1210.9076651021119</v>
      </c>
      <c r="S30" s="294">
        <v>1233.0267189614251</v>
      </c>
      <c r="T30" s="294">
        <v>1257.0362902446111</v>
      </c>
      <c r="U30" s="294">
        <v>1283.1895732495102</v>
      </c>
      <c r="V30" s="294">
        <v>1311.7870883109422</v>
      </c>
      <c r="W30" s="294">
        <v>1343.188281319573</v>
      </c>
      <c r="X30" s="294">
        <v>1377.826710720846</v>
      </c>
      <c r="Y30" s="294">
        <v>1416.2301867961708</v>
      </c>
      <c r="Z30" s="294">
        <v>1459.0478555238319</v>
      </c>
      <c r="AA30" s="294">
        <v>1507.0871911695001</v>
      </c>
      <c r="AB30" s="294">
        <v>1561.3654015743464</v>
      </c>
    </row>
    <row r="31" spans="1:28" s="205" customFormat="1" x14ac:dyDescent="0.25">
      <c r="A31" s="254" t="s">
        <v>379</v>
      </c>
      <c r="B31" s="255"/>
      <c r="C31" s="257">
        <f>SUM(C28,C29,C30)</f>
        <v>9023.4900000000016</v>
      </c>
      <c r="D31" s="257">
        <f t="shared" ref="D31:N31" si="7">SUM(D28,D29,D30)</f>
        <v>10606.19999999999</v>
      </c>
      <c r="E31" s="257">
        <f t="shared" si="7"/>
        <v>18386.03999999999</v>
      </c>
      <c r="F31" s="257">
        <f t="shared" si="7"/>
        <v>18212.269999999993</v>
      </c>
      <c r="G31" s="257">
        <f t="shared" si="7"/>
        <v>23829.01999999996</v>
      </c>
      <c r="H31" s="257">
        <f t="shared" si="7"/>
        <v>30601.619999999992</v>
      </c>
      <c r="I31" s="257">
        <f t="shared" si="7"/>
        <v>42299.19000000001</v>
      </c>
      <c r="J31" s="257">
        <f t="shared" si="7"/>
        <v>48092.765446410704</v>
      </c>
      <c r="K31" s="257">
        <f t="shared" si="7"/>
        <v>58265.736881929392</v>
      </c>
      <c r="L31" s="257">
        <f t="shared" si="7"/>
        <v>65563.247281652468</v>
      </c>
      <c r="M31" s="257">
        <f t="shared" si="7"/>
        <v>83685.708712248248</v>
      </c>
      <c r="N31" s="257">
        <f t="shared" si="7"/>
        <v>99671.569805726787</v>
      </c>
      <c r="P31" s="321"/>
      <c r="Q31" s="282">
        <f t="shared" si="6"/>
        <v>0.15200000000000002</v>
      </c>
      <c r="R31" s="294">
        <v>1166.1012099312434</v>
      </c>
      <c r="S31" s="294">
        <v>1185.7597333819315</v>
      </c>
      <c r="T31" s="294">
        <v>1207.0296112138235</v>
      </c>
      <c r="U31" s="294">
        <v>1230.1174273219458</v>
      </c>
      <c r="V31" s="294">
        <v>1255.266655582579</v>
      </c>
      <c r="W31" s="294">
        <v>1282.766279007757</v>
      </c>
      <c r="X31" s="294">
        <v>1312.9619439452076</v>
      </c>
      <c r="Y31" s="294">
        <v>1346.2705640308491</v>
      </c>
      <c r="Z31" s="294">
        <v>1383.1996862997123</v>
      </c>
      <c r="AA31" s="294">
        <v>1424.3735352661463</v>
      </c>
      <c r="AB31" s="294">
        <v>1470.5685853260475</v>
      </c>
    </row>
    <row r="32" spans="1:28" x14ac:dyDescent="0.25">
      <c r="A32" s="262" t="s">
        <v>414</v>
      </c>
      <c r="B32" s="5"/>
      <c r="C32" s="30">
        <f>'Income statement'!D24</f>
        <v>449.91</v>
      </c>
      <c r="D32" s="261">
        <f>'Income statement'!E24</f>
        <v>514.27</v>
      </c>
      <c r="E32" s="261">
        <f>'Income statement'!F24</f>
        <v>578.01</v>
      </c>
      <c r="F32" s="261">
        <f>'Income statement'!G24</f>
        <v>1225.77</v>
      </c>
      <c r="G32" s="261">
        <f>'Income statement'!H24</f>
        <v>1155.32</v>
      </c>
      <c r="H32" s="261">
        <f>'Income statement'!I24</f>
        <v>1348.53</v>
      </c>
      <c r="I32" s="261">
        <f>'Income statement'!J24</f>
        <v>3307.8</v>
      </c>
      <c r="J32" s="261">
        <f>'Income statement'!K24</f>
        <v>1527.28125</v>
      </c>
      <c r="K32" s="261">
        <f>'Income statement'!L24</f>
        <v>2111.6100750000001</v>
      </c>
      <c r="L32" s="261">
        <f>'Income statement'!M24</f>
        <v>2541.0398249999994</v>
      </c>
      <c r="M32" s="261">
        <f>'Income statement'!N24</f>
        <v>2962.1895749999999</v>
      </c>
      <c r="N32" s="261">
        <f>'Income statement'!O24</f>
        <v>3375.0593249999993</v>
      </c>
      <c r="P32" s="321"/>
      <c r="Q32" s="282">
        <f t="shared" si="6"/>
        <v>0.15700000000000003</v>
      </c>
      <c r="R32" s="294">
        <v>1125.0823566767228</v>
      </c>
      <c r="S32" s="294">
        <v>1142.6092978870533</v>
      </c>
      <c r="T32" s="294">
        <v>1161.5163132084335</v>
      </c>
      <c r="U32" s="294">
        <v>1181.9730838840248</v>
      </c>
      <c r="V32" s="294">
        <v>1204.1782964977012</v>
      </c>
      <c r="W32" s="294">
        <v>1228.3661173804558</v>
      </c>
      <c r="X32" s="294">
        <v>1254.8144822709444</v>
      </c>
      <c r="Y32" s="294">
        <v>1283.8558241114813</v>
      </c>
      <c r="Z32" s="294">
        <v>1315.8911187190836</v>
      </c>
      <c r="AA32" s="294">
        <v>1351.408510566642</v>
      </c>
      <c r="AB32" s="294">
        <v>1391.0083612472538</v>
      </c>
    </row>
    <row r="33" spans="1:53" x14ac:dyDescent="0.25">
      <c r="A33" s="256" t="s">
        <v>380</v>
      </c>
      <c r="B33" s="193"/>
      <c r="C33" s="263">
        <f>'CashFlow Statement'!D31</f>
        <v>-2133.12</v>
      </c>
      <c r="D33" s="263">
        <f>'CashFlow Statement'!E31</f>
        <v>-331.74</v>
      </c>
      <c r="E33" s="263">
        <f>'CashFlow Statement'!F31</f>
        <v>-9155.68</v>
      </c>
      <c r="F33" s="263">
        <f>'CashFlow Statement'!G31</f>
        <v>-23241.67</v>
      </c>
      <c r="G33" s="263">
        <f>'CashFlow Statement'!H31</f>
        <v>-10171.15</v>
      </c>
      <c r="H33" s="263">
        <f>'CashFlow Statement'!I31</f>
        <v>-2319.9</v>
      </c>
      <c r="I33" s="263">
        <f>'CashFlow Statement'!J31</f>
        <v>-2372.38</v>
      </c>
      <c r="J33" s="263">
        <f>'CashFlow Statement'!K31</f>
        <v>-10266</v>
      </c>
      <c r="K33" s="263">
        <f>'CashFlow Statement'!L31</f>
        <v>-10578</v>
      </c>
      <c r="L33" s="263">
        <f>'CashFlow Statement'!M31</f>
        <v>-10890</v>
      </c>
      <c r="M33" s="263">
        <f>'CashFlow Statement'!N31</f>
        <v>-11202</v>
      </c>
      <c r="N33" s="263">
        <f>'CashFlow Statement'!O31</f>
        <v>-11514</v>
      </c>
      <c r="P33" s="321"/>
      <c r="Q33" s="282">
        <f t="shared" si="6"/>
        <v>0.16200000000000003</v>
      </c>
      <c r="R33" s="294">
        <v>1087.4192545751923</v>
      </c>
      <c r="S33" s="294">
        <v>1103.0917010334213</v>
      </c>
      <c r="T33" s="294">
        <v>1119.9514540415162</v>
      </c>
      <c r="U33" s="294">
        <v>1138.1387466565475</v>
      </c>
      <c r="V33" s="294">
        <v>1157.8168009613357</v>
      </c>
      <c r="W33" s="294">
        <v>1179.176740249439</v>
      </c>
      <c r="X33" s="294">
        <v>1202.4438169739799</v>
      </c>
      <c r="Y33" s="294">
        <v>1227.8853868503475</v>
      </c>
      <c r="Z33" s="294">
        <v>1255.8212282832217</v>
      </c>
      <c r="AA33" s="294">
        <v>1286.637053368969</v>
      </c>
      <c r="AB33" s="294">
        <v>1320.802424659689</v>
      </c>
    </row>
    <row r="34" spans="1:53" x14ac:dyDescent="0.25">
      <c r="A34" s="206" t="s">
        <v>415</v>
      </c>
      <c r="C34" s="260">
        <f>C31+(1-$B$4)*C32+C33</f>
        <v>7184.5661490000011</v>
      </c>
      <c r="D34" s="277">
        <f t="shared" ref="D34:N34" si="8">D31+(1-$B$4)*D32+D33</f>
        <v>10610.74115299999</v>
      </c>
      <c r="E34" s="277">
        <f t="shared" si="8"/>
        <v>9608.320738999988</v>
      </c>
      <c r="F34" s="277">
        <f t="shared" si="8"/>
        <v>-4227.868997000005</v>
      </c>
      <c r="G34" s="277">
        <f t="shared" si="8"/>
        <v>14413.333747999959</v>
      </c>
      <c r="H34" s="277">
        <f t="shared" si="8"/>
        <v>29163.523766999991</v>
      </c>
      <c r="I34" s="277">
        <f t="shared" si="8"/>
        <v>42089.78042000001</v>
      </c>
      <c r="J34" s="277">
        <f t="shared" si="8"/>
        <v>38825.454655785703</v>
      </c>
      <c r="K34" s="277">
        <f t="shared" si="8"/>
        <v>49068.51870997189</v>
      </c>
      <c r="L34" s="277">
        <f t="shared" si="8"/>
        <v>56334.833223219961</v>
      </c>
      <c r="M34" s="277">
        <f t="shared" si="8"/>
        <v>74420.684475340749</v>
      </c>
      <c r="N34" s="277">
        <f t="shared" si="8"/>
        <v>90364.521098344281</v>
      </c>
      <c r="P34" s="321"/>
      <c r="Q34" s="282">
        <f t="shared" si="6"/>
        <v>0.16700000000000004</v>
      </c>
      <c r="R34" s="294">
        <v>1052.7406938947242</v>
      </c>
      <c r="S34" s="294">
        <v>1066.7933194846607</v>
      </c>
      <c r="T34" s="294">
        <v>1081.8716841687531</v>
      </c>
      <c r="U34" s="294">
        <v>1098.0923492077006</v>
      </c>
      <c r="V34" s="294">
        <v>1115.5902319662507</v>
      </c>
      <c r="W34" s="294">
        <v>1134.5223674099275</v>
      </c>
      <c r="X34" s="294">
        <v>1155.072634088107</v>
      </c>
      <c r="Y34" s="294">
        <v>1177.4577460054095</v>
      </c>
      <c r="Z34" s="294">
        <v>1201.9349244570392</v>
      </c>
      <c r="AA34" s="294">
        <v>1228.8118262862795</v>
      </c>
      <c r="AB34" s="294">
        <v>1258.4595427370914</v>
      </c>
    </row>
    <row r="35" spans="1:53" x14ac:dyDescent="0.25">
      <c r="A35" s="267" t="s">
        <v>416</v>
      </c>
      <c r="B35" s="265"/>
      <c r="C35" s="265"/>
      <c r="D35" s="265"/>
      <c r="E35" s="265"/>
      <c r="F35" s="265"/>
      <c r="G35" s="265"/>
      <c r="H35" s="265"/>
      <c r="I35" s="265"/>
      <c r="J35" s="266">
        <f>J34/(1+$B$17)^J36</f>
        <v>34758.373206878619</v>
      </c>
      <c r="K35" s="266">
        <f>K34/(1+$B$17)^K36</f>
        <v>39326.811031466932</v>
      </c>
      <c r="L35" s="266">
        <f>L34/(1+$B$17)^L36</f>
        <v>40420.872954783546</v>
      </c>
      <c r="M35" s="266">
        <f>M34/(1+$B$17)^M36</f>
        <v>47804.108956905809</v>
      </c>
      <c r="N35" s="266">
        <f>N34/(1+$B$17)^N36</f>
        <v>51965.176978844611</v>
      </c>
      <c r="P35" s="321"/>
      <c r="Q35" s="282">
        <f t="shared" si="6"/>
        <v>0.17200000000000004</v>
      </c>
      <c r="R35" s="294">
        <v>1020.7260178921417</v>
      </c>
      <c r="S35" s="294">
        <v>1033.3585796774314</v>
      </c>
      <c r="T35" s="294">
        <v>1046.8807584898543</v>
      </c>
      <c r="U35" s="294">
        <v>1061.3899576535491</v>
      </c>
      <c r="V35" s="294">
        <v>1076.9983385720691</v>
      </c>
      <c r="W35" s="294">
        <v>1093.8357258621261</v>
      </c>
      <c r="X35" s="294">
        <v>1112.0532268644829</v>
      </c>
      <c r="Y35" s="294">
        <v>1131.8277792345625</v>
      </c>
      <c r="Z35" s="294">
        <v>1153.3679166376851</v>
      </c>
      <c r="AA35" s="294">
        <v>1176.9211509943702</v>
      </c>
      <c r="AB35" s="294">
        <v>1202.7835259742601</v>
      </c>
    </row>
    <row r="36" spans="1:53" x14ac:dyDescent="0.25">
      <c r="D36" s="25"/>
      <c r="J36" s="264">
        <v>1</v>
      </c>
      <c r="K36" s="264">
        <v>2</v>
      </c>
      <c r="L36" s="264">
        <v>3</v>
      </c>
      <c r="M36" s="264">
        <v>4</v>
      </c>
      <c r="N36" s="264">
        <v>5</v>
      </c>
      <c r="P36" s="321"/>
      <c r="Q36" s="282">
        <f>Q35+0.5%</f>
        <v>0.17700000000000005</v>
      </c>
      <c r="R36" s="294">
        <v>991.09696961277143</v>
      </c>
      <c r="S36" s="294">
        <v>1002.4803029361176</v>
      </c>
      <c r="T36" s="294">
        <v>1014.638012676018</v>
      </c>
      <c r="U36" s="294">
        <v>1027.6518991581647</v>
      </c>
      <c r="V36" s="294">
        <v>1041.6157043616361</v>
      </c>
      <c r="W36" s="294">
        <v>1056.6373735956734</v>
      </c>
      <c r="X36" s="294">
        <v>1072.8418514308164</v>
      </c>
      <c r="Y36" s="294">
        <v>1090.3745651540855</v>
      </c>
      <c r="Z36" s="294">
        <v>1109.4058014178049</v>
      </c>
      <c r="AA36" s="294">
        <v>1130.1362552050707</v>
      </c>
      <c r="AB36" s="294">
        <v>1152.8041345799318</v>
      </c>
      <c r="AW36" s="177">
        <v>2018</v>
      </c>
      <c r="AX36" s="177">
        <v>2019</v>
      </c>
      <c r="AY36" s="177">
        <v>2020</v>
      </c>
      <c r="AZ36" s="177">
        <v>2021</v>
      </c>
      <c r="BA36" s="177">
        <v>2022</v>
      </c>
    </row>
    <row r="37" spans="1:53" x14ac:dyDescent="0.25">
      <c r="D37" s="25"/>
      <c r="AV37" s="290" t="s">
        <v>374</v>
      </c>
      <c r="AW37" s="230">
        <v>254652.67061822908</v>
      </c>
      <c r="AX37" s="230">
        <v>305739.51122615376</v>
      </c>
      <c r="AY37" s="230">
        <v>365511.63727191917</v>
      </c>
      <c r="AZ37" s="230">
        <v>436963.04078314517</v>
      </c>
      <c r="BA37" s="230">
        <v>524625.76854021684</v>
      </c>
    </row>
    <row r="38" spans="1:53" x14ac:dyDescent="0.25">
      <c r="A38" s="269" t="s">
        <v>417</v>
      </c>
      <c r="B38" s="268"/>
      <c r="D38" s="25"/>
      <c r="AV38" s="290" t="s">
        <v>53</v>
      </c>
      <c r="AW38" s="230">
        <v>89731.537372944644</v>
      </c>
      <c r="AX38" s="230">
        <v>102878.76042882881</v>
      </c>
      <c r="AY38" s="230">
        <v>128190.98349549939</v>
      </c>
      <c r="AZ38" s="230">
        <v>150685.95862802261</v>
      </c>
      <c r="BA38" s="230">
        <v>178973.36117647548</v>
      </c>
    </row>
    <row r="39" spans="1:53" x14ac:dyDescent="0.25">
      <c r="A39" s="268" t="s">
        <v>418</v>
      </c>
      <c r="B39" s="271">
        <f>SUM(J35:N35)</f>
        <v>214275.3431288795</v>
      </c>
      <c r="D39" s="209"/>
      <c r="AV39" s="290" t="s">
        <v>376</v>
      </c>
      <c r="AW39" s="230">
        <v>38709.399022120662</v>
      </c>
      <c r="AX39" s="230">
        <v>43323.992022589693</v>
      </c>
      <c r="AY39" s="230">
        <v>53290.640370559573</v>
      </c>
      <c r="AZ39" s="230">
        <v>63639.816243613837</v>
      </c>
      <c r="BA39" s="230">
        <v>76597.117879553785</v>
      </c>
    </row>
    <row r="40" spans="1:53" x14ac:dyDescent="0.25">
      <c r="A40" s="268" t="s">
        <v>419</v>
      </c>
      <c r="B40" s="270">
        <v>0.03</v>
      </c>
      <c r="AV40" s="290" t="s">
        <v>379</v>
      </c>
      <c r="AW40" s="230">
        <v>48092.765446410704</v>
      </c>
      <c r="AX40" s="230">
        <v>58265.736881929392</v>
      </c>
      <c r="AY40" s="230">
        <v>65563.247281652468</v>
      </c>
      <c r="AZ40" s="230">
        <v>83685.708712248248</v>
      </c>
      <c r="BA40" s="230">
        <v>99671.569805726787</v>
      </c>
    </row>
    <row r="41" spans="1:53" x14ac:dyDescent="0.25">
      <c r="A41" s="268" t="s">
        <v>420</v>
      </c>
      <c r="B41" s="271">
        <f>((N35*(1+B40))/(B17-B40))/(1+B17)^5</f>
        <v>353748.26870058069</v>
      </c>
      <c r="C41" s="277"/>
      <c r="AV41" s="290" t="s">
        <v>415</v>
      </c>
      <c r="AW41" s="230">
        <v>38825.454655785703</v>
      </c>
      <c r="AX41" s="230">
        <v>49068.51870997189</v>
      </c>
      <c r="AY41" s="230">
        <v>56334.833223219961</v>
      </c>
      <c r="AZ41" s="230">
        <v>74420.684475340749</v>
      </c>
      <c r="BA41" s="230">
        <v>90364.521098344281</v>
      </c>
    </row>
    <row r="42" spans="1:53" x14ac:dyDescent="0.25">
      <c r="A42" s="268" t="s">
        <v>421</v>
      </c>
      <c r="B42" s="271">
        <v>50779</v>
      </c>
      <c r="AV42" s="290" t="s">
        <v>416</v>
      </c>
      <c r="AW42" s="230">
        <v>34758.373206878619</v>
      </c>
      <c r="AX42" s="230">
        <v>39326.811031466932</v>
      </c>
      <c r="AY42" s="230">
        <v>40420.872954783546</v>
      </c>
      <c r="AZ42" s="230">
        <v>47804.108956905809</v>
      </c>
      <c r="BA42" s="230">
        <v>51965.176978844611</v>
      </c>
    </row>
    <row r="43" spans="1:53" x14ac:dyDescent="0.25">
      <c r="A43" s="268" t="s">
        <v>422</v>
      </c>
      <c r="B43" s="271">
        <f>B42+B41+B39+B44</f>
        <v>702262.16182946018</v>
      </c>
    </row>
    <row r="44" spans="1:53" x14ac:dyDescent="0.25">
      <c r="A44" s="268" t="s">
        <v>423</v>
      </c>
      <c r="B44" s="271">
        <f>'Balance sheet'!J43+'Balance sheet'!J40</f>
        <v>83459.55</v>
      </c>
    </row>
    <row r="45" spans="1:53" x14ac:dyDescent="0.25">
      <c r="A45" s="268" t="s">
        <v>424</v>
      </c>
      <c r="B45" s="271">
        <f>B43-B42</f>
        <v>651483.16182946018</v>
      </c>
      <c r="F45" s="290"/>
    </row>
    <row r="46" spans="1:53" x14ac:dyDescent="0.25">
      <c r="A46" s="268" t="s">
        <v>425</v>
      </c>
      <c r="B46" s="271">
        <f>B45*10^6/B12</f>
        <v>1697.9937942299334</v>
      </c>
    </row>
  </sheetData>
  <mergeCells count="3">
    <mergeCell ref="A1:C1"/>
    <mergeCell ref="P21:P36"/>
    <mergeCell ref="Q21:AB2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3"/>
  <sheetViews>
    <sheetView workbookViewId="0">
      <pane xSplit="3" ySplit="6" topLeftCell="AC7" activePane="bottomRight" state="frozen"/>
      <selection pane="topRight" activeCell="D1" sqref="D1"/>
      <selection pane="bottomLeft" activeCell="A7" sqref="A7"/>
      <selection pane="bottomRight" activeCell="AH25" sqref="AH25"/>
    </sheetView>
  </sheetViews>
  <sheetFormatPr defaultRowHeight="15" x14ac:dyDescent="0.25"/>
  <cols>
    <col min="1" max="1" width="35.140625" customWidth="1"/>
    <col min="2" max="2" width="1.85546875" customWidth="1"/>
    <col min="3" max="3" width="1.28515625" customWidth="1"/>
    <col min="4" max="4" width="10.85546875" customWidth="1"/>
    <col min="5" max="5" width="9" customWidth="1"/>
    <col min="6" max="6" width="10.140625" customWidth="1"/>
    <col min="7" max="9" width="10.140625" bestFit="1" customWidth="1"/>
    <col min="10" max="10" width="11.140625" style="212" bestFit="1" customWidth="1"/>
    <col min="11" max="11" width="10.42578125" customWidth="1"/>
    <col min="12" max="12" width="10.140625" bestFit="1" customWidth="1"/>
    <col min="13" max="15" width="11.140625" bestFit="1" customWidth="1"/>
    <col min="17" max="17" width="18.42578125" bestFit="1" customWidth="1"/>
    <col min="35" max="35" width="18.42578125" bestFit="1" customWidth="1"/>
  </cols>
  <sheetData>
    <row r="1" spans="1:42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211"/>
      <c r="K1" s="7"/>
      <c r="L1" s="7"/>
      <c r="M1" s="7"/>
      <c r="N1" s="7"/>
      <c r="O1" s="7"/>
    </row>
    <row r="2" spans="1:42" x14ac:dyDescent="0.25">
      <c r="A2" s="1" t="s">
        <v>1</v>
      </c>
    </row>
    <row r="3" spans="1:42" x14ac:dyDescent="0.25">
      <c r="A3" t="s">
        <v>2</v>
      </c>
    </row>
    <row r="4" spans="1:42" x14ac:dyDescent="0.25">
      <c r="A4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42" x14ac:dyDescent="0.25">
      <c r="A5" s="8" t="s">
        <v>4</v>
      </c>
      <c r="B5" s="5"/>
      <c r="C5" s="8"/>
      <c r="D5" s="10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213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42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214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42" x14ac:dyDescent="0.25">
      <c r="A7" t="s">
        <v>111</v>
      </c>
      <c r="C7" s="2"/>
      <c r="D7" s="19">
        <v>125553</v>
      </c>
      <c r="E7" s="18">
        <f>167784+11468</f>
        <v>179252</v>
      </c>
      <c r="F7" s="18">
        <f>214823+31317</f>
        <v>246140</v>
      </c>
      <c r="G7" s="18">
        <f>261952+35701</f>
        <v>297653</v>
      </c>
      <c r="H7" s="23">
        <v>354276</v>
      </c>
      <c r="I7" s="18">
        <v>436739</v>
      </c>
      <c r="J7" s="215">
        <v>558567</v>
      </c>
      <c r="K7" s="44">
        <f>AVERAGE(J8:K8)*K9</f>
        <v>669154.5</v>
      </c>
      <c r="L7" s="44">
        <f t="shared" ref="L7:O7" si="3">AVERAGE(K8:L8)*L9</f>
        <v>742717.11417391303</v>
      </c>
      <c r="M7" s="44">
        <f t="shared" si="3"/>
        <v>823244.53773913009</v>
      </c>
      <c r="N7" s="44">
        <f t="shared" si="3"/>
        <v>963196.10915478226</v>
      </c>
      <c r="O7" s="44">
        <f t="shared" si="3"/>
        <v>1126198.52762713</v>
      </c>
    </row>
    <row r="8" spans="1:42" x14ac:dyDescent="0.25">
      <c r="A8" t="s">
        <v>112</v>
      </c>
      <c r="D8">
        <v>39</v>
      </c>
      <c r="E8">
        <v>55</v>
      </c>
      <c r="F8">
        <v>66</v>
      </c>
      <c r="G8">
        <v>77</v>
      </c>
      <c r="H8">
        <v>94</v>
      </c>
      <c r="I8">
        <v>107</v>
      </c>
      <c r="J8" s="212">
        <v>131</v>
      </c>
      <c r="K8" s="40">
        <f>'Assumptions Sheet'!K17</f>
        <v>160</v>
      </c>
      <c r="L8" s="40">
        <f>'Assumptions Sheet'!L17</f>
        <v>170.86852173913041</v>
      </c>
      <c r="M8" s="40">
        <f>'Assumptions Sheet'!M17</f>
        <v>205.04222608695648</v>
      </c>
      <c r="N8" s="40">
        <f>'Assumptions Sheet'!N17</f>
        <v>246.05067130434779</v>
      </c>
      <c r="O8" s="40">
        <f>'Assumptions Sheet'!O17</f>
        <v>295.26080556521737</v>
      </c>
    </row>
    <row r="9" spans="1:42" x14ac:dyDescent="0.25">
      <c r="A9" t="s">
        <v>113</v>
      </c>
      <c r="E9" s="17">
        <f>E7/AVERAGE(D8:E8)</f>
        <v>3813.872340425532</v>
      </c>
      <c r="F9" s="17">
        <f t="shared" ref="F9:I9" si="4">F7/AVERAGE(E8:F8)</f>
        <v>4068.4297520661157</v>
      </c>
      <c r="G9" s="17">
        <f t="shared" si="4"/>
        <v>4162.9790209790208</v>
      </c>
      <c r="H9" s="17">
        <f t="shared" si="4"/>
        <v>4143.5789473684208</v>
      </c>
      <c r="I9" s="17">
        <f t="shared" si="4"/>
        <v>4345.6616915422883</v>
      </c>
      <c r="J9" s="216">
        <f>J7/AVERAGE(I8:J8)</f>
        <v>4693.8403361344535</v>
      </c>
      <c r="K9" s="17">
        <f>K10*K11</f>
        <v>4599</v>
      </c>
      <c r="L9" s="17">
        <f t="shared" ref="L9:O9" si="5">L10*L11</f>
        <v>4489.5</v>
      </c>
      <c r="M9" s="17">
        <f t="shared" si="5"/>
        <v>4379.9999999999991</v>
      </c>
      <c r="N9" s="17">
        <f t="shared" si="5"/>
        <v>4270.4999999999991</v>
      </c>
      <c r="O9" s="17">
        <f t="shared" si="5"/>
        <v>4160.9999999999991</v>
      </c>
    </row>
    <row r="10" spans="1:42" x14ac:dyDescent="0.25">
      <c r="A10" t="s">
        <v>114</v>
      </c>
      <c r="E10" s="15">
        <v>365</v>
      </c>
      <c r="F10" s="15">
        <v>365</v>
      </c>
      <c r="G10" s="15">
        <v>365</v>
      </c>
      <c r="H10" s="15">
        <v>365</v>
      </c>
      <c r="I10" s="15">
        <v>365</v>
      </c>
      <c r="J10" s="217">
        <v>365</v>
      </c>
      <c r="K10" s="15">
        <v>365</v>
      </c>
      <c r="L10" s="15">
        <v>365</v>
      </c>
      <c r="M10" s="15">
        <v>365</v>
      </c>
      <c r="N10" s="15">
        <v>365</v>
      </c>
      <c r="O10" s="15">
        <v>365</v>
      </c>
      <c r="AG10" s="70"/>
      <c r="AH10" s="70"/>
      <c r="AI10" s="70"/>
      <c r="AJ10" s="70"/>
      <c r="AK10" s="70"/>
      <c r="AL10" s="70"/>
      <c r="AM10" s="70"/>
      <c r="AN10" s="70"/>
      <c r="AO10" s="70"/>
      <c r="AP10" s="70"/>
    </row>
    <row r="11" spans="1:42" x14ac:dyDescent="0.25">
      <c r="A11" t="s">
        <v>115</v>
      </c>
      <c r="D11">
        <v>10.7</v>
      </c>
      <c r="E11" s="37">
        <f>E9/E10</f>
        <v>10.448965316234334</v>
      </c>
      <c r="F11" s="37">
        <f t="shared" ref="F11:I11" si="6">F9/F10</f>
        <v>11.146382882372921</v>
      </c>
      <c r="G11" s="37">
        <f t="shared" si="6"/>
        <v>11.405421975284989</v>
      </c>
      <c r="H11" s="37">
        <f t="shared" si="6"/>
        <v>11.352271088680604</v>
      </c>
      <c r="I11" s="37">
        <f t="shared" si="6"/>
        <v>11.905922442581613</v>
      </c>
      <c r="J11" s="218">
        <f>J9/J10</f>
        <v>12.859836537354667</v>
      </c>
      <c r="K11" s="39">
        <v>12.6</v>
      </c>
      <c r="L11" s="39">
        <f>K11-0.3</f>
        <v>12.299999999999999</v>
      </c>
      <c r="M11" s="39">
        <f t="shared" ref="M11:O11" si="7">L11-0.3</f>
        <v>11.999999999999998</v>
      </c>
      <c r="N11" s="39">
        <f t="shared" si="7"/>
        <v>11.699999999999998</v>
      </c>
      <c r="O11" s="39">
        <f t="shared" si="7"/>
        <v>11.399999999999997</v>
      </c>
      <c r="AG11" s="70"/>
      <c r="AH11" s="70"/>
      <c r="AI11" s="70"/>
      <c r="AJ11" s="70"/>
      <c r="AK11" s="70"/>
      <c r="AL11" s="70"/>
      <c r="AM11" s="70"/>
      <c r="AN11" s="70"/>
      <c r="AO11" s="70"/>
      <c r="AP11" s="70"/>
    </row>
    <row r="12" spans="1:42" x14ac:dyDescent="0.25">
      <c r="J12" s="219">
        <f>(J11/E11)^(1/5)-1</f>
        <v>4.2395270212745029E-2</v>
      </c>
      <c r="Q12" s="299" t="s">
        <v>5</v>
      </c>
      <c r="R12" s="299">
        <v>2018</v>
      </c>
      <c r="S12" s="299">
        <v>2019</v>
      </c>
      <c r="T12" s="299">
        <v>2020</v>
      </c>
      <c r="U12" s="299">
        <v>2021</v>
      </c>
      <c r="V12" s="299">
        <v>2022</v>
      </c>
      <c r="AG12" s="70"/>
      <c r="AH12" s="70"/>
      <c r="AI12" s="300" t="s">
        <v>5</v>
      </c>
      <c r="AJ12" s="300">
        <v>2018</v>
      </c>
      <c r="AK12" s="300">
        <v>2019</v>
      </c>
      <c r="AL12" s="300">
        <v>2020</v>
      </c>
      <c r="AM12" s="300">
        <v>2021</v>
      </c>
      <c r="AN12" s="300">
        <v>2022</v>
      </c>
      <c r="AO12" s="70"/>
      <c r="AP12" s="70"/>
    </row>
    <row r="13" spans="1:42" x14ac:dyDescent="0.25">
      <c r="A13" t="s">
        <v>46</v>
      </c>
      <c r="D13" s="18">
        <v>15213.26</v>
      </c>
      <c r="E13" s="18">
        <v>28735.91</v>
      </c>
      <c r="F13" s="18">
        <v>43126.26</v>
      </c>
      <c r="G13" s="18">
        <v>55133.5</v>
      </c>
      <c r="H13" s="18">
        <v>57484.86</v>
      </c>
      <c r="I13" s="18">
        <v>47793.24</v>
      </c>
      <c r="J13" s="215">
        <v>63415.13</v>
      </c>
      <c r="K13" s="17">
        <f>K14*K15</f>
        <v>88047.369979556737</v>
      </c>
      <c r="L13" s="17">
        <f t="shared" ref="L13:O13" si="8">L14*L15</f>
        <v>109130.02490996422</v>
      </c>
      <c r="M13" s="17">
        <f t="shared" si="8"/>
        <v>123622.97355575164</v>
      </c>
      <c r="N13" s="17">
        <f t="shared" si="8"/>
        <v>148476.98396386791</v>
      </c>
      <c r="O13" s="17">
        <f t="shared" si="8"/>
        <v>178058.98908677121</v>
      </c>
      <c r="Q13" s="293" t="s">
        <v>432</v>
      </c>
      <c r="R13" s="293">
        <v>63</v>
      </c>
      <c r="S13" s="293">
        <v>65</v>
      </c>
      <c r="T13" s="293">
        <v>67</v>
      </c>
      <c r="U13" s="293">
        <v>69</v>
      </c>
      <c r="V13" s="293">
        <v>71</v>
      </c>
      <c r="AG13" s="70"/>
      <c r="AH13" s="70"/>
      <c r="AI13" s="285" t="s">
        <v>432</v>
      </c>
      <c r="AJ13" s="285">
        <v>63</v>
      </c>
      <c r="AK13" s="285">
        <v>65</v>
      </c>
      <c r="AL13" s="285">
        <v>67</v>
      </c>
      <c r="AM13" s="285">
        <v>69</v>
      </c>
      <c r="AN13" s="285">
        <v>71</v>
      </c>
      <c r="AO13" s="70"/>
      <c r="AP13" s="70"/>
    </row>
    <row r="14" spans="1:42" x14ac:dyDescent="0.25">
      <c r="A14" t="s">
        <v>116</v>
      </c>
      <c r="E14" s="37">
        <v>63.8</v>
      </c>
      <c r="F14">
        <v>70.8</v>
      </c>
      <c r="G14" s="37">
        <v>75.7</v>
      </c>
      <c r="H14" s="37">
        <v>68.37</v>
      </c>
      <c r="I14" s="37">
        <v>47.28</v>
      </c>
      <c r="J14" s="218">
        <v>50.87</v>
      </c>
      <c r="K14" s="36">
        <f>R17/1000</f>
        <v>61.095158566779865</v>
      </c>
      <c r="L14" s="292">
        <f>S17/1000</f>
        <v>70.03854156685523</v>
      </c>
      <c r="M14" s="292">
        <f>T17/1000</f>
        <v>72.193573615066157</v>
      </c>
      <c r="N14" s="292">
        <f>U17/1000</f>
        <v>74.348605663277098</v>
      </c>
      <c r="O14" s="292">
        <f>V17/1000</f>
        <v>76.503637711488011</v>
      </c>
      <c r="Q14" s="293" t="s">
        <v>433</v>
      </c>
      <c r="R14" s="293">
        <v>67.5</v>
      </c>
      <c r="S14" s="293">
        <v>75</v>
      </c>
      <c r="T14" s="293">
        <v>75</v>
      </c>
      <c r="U14" s="293">
        <v>75</v>
      </c>
      <c r="V14" s="293">
        <v>75</v>
      </c>
      <c r="AG14" s="70"/>
      <c r="AH14" s="70"/>
      <c r="AI14" s="285" t="s">
        <v>433</v>
      </c>
      <c r="AJ14" s="285">
        <v>67.5</v>
      </c>
      <c r="AK14" s="285">
        <v>75</v>
      </c>
      <c r="AL14" s="285">
        <v>75</v>
      </c>
      <c r="AM14" s="285">
        <v>75</v>
      </c>
      <c r="AN14" s="285">
        <v>75</v>
      </c>
      <c r="AO14" s="70"/>
      <c r="AP14" s="70"/>
    </row>
    <row r="15" spans="1:42" x14ac:dyDescent="0.25">
      <c r="A15" t="s">
        <v>117</v>
      </c>
      <c r="E15" s="17">
        <f>E13/E14</f>
        <v>450.40611285266459</v>
      </c>
      <c r="F15" s="17">
        <f t="shared" ref="F15:J15" si="9">F13/F14</f>
        <v>609.12796610169494</v>
      </c>
      <c r="G15" s="17">
        <f t="shared" si="9"/>
        <v>728.31571994715978</v>
      </c>
      <c r="H15" s="17">
        <f t="shared" si="9"/>
        <v>840.79069767441854</v>
      </c>
      <c r="I15" s="17">
        <f t="shared" si="9"/>
        <v>1010.8553299492385</v>
      </c>
      <c r="J15" s="216">
        <f t="shared" si="9"/>
        <v>1246.6115588755652</v>
      </c>
      <c r="K15" s="17">
        <f>K17*K7/10^6</f>
        <v>1441.1513456228588</v>
      </c>
      <c r="L15" s="17">
        <f t="shared" ref="L15:N15" si="10">L17*L7/10^6</f>
        <v>1558.1424522638617</v>
      </c>
      <c r="M15" s="17">
        <f t="shared" si="10"/>
        <v>1712.3819665016917</v>
      </c>
      <c r="N15" s="17">
        <f t="shared" si="10"/>
        <v>1997.0379086370001</v>
      </c>
      <c r="O15" s="17">
        <f>O17*O7/10^6</f>
        <v>2327.4578100229783</v>
      </c>
      <c r="Q15" s="293" t="s">
        <v>434</v>
      </c>
      <c r="R15" s="293">
        <v>4252.5</v>
      </c>
      <c r="S15" s="293">
        <f>S14*S13</f>
        <v>4875</v>
      </c>
      <c r="T15" s="293">
        <f t="shared" ref="T15:V15" si="11">T14*T13</f>
        <v>5025</v>
      </c>
      <c r="U15" s="293">
        <f t="shared" si="11"/>
        <v>5175</v>
      </c>
      <c r="V15" s="293">
        <f t="shared" si="11"/>
        <v>5325</v>
      </c>
      <c r="AG15" s="70"/>
      <c r="AH15" s="70"/>
      <c r="AI15" s="285" t="s">
        <v>434</v>
      </c>
      <c r="AJ15" s="285">
        <v>4252.5</v>
      </c>
      <c r="AK15" s="285">
        <f>AK14*AK13</f>
        <v>4875</v>
      </c>
      <c r="AL15" s="285">
        <f t="shared" ref="AL15:AN15" si="12">AL14*AL13</f>
        <v>5025</v>
      </c>
      <c r="AM15" s="285">
        <f t="shared" si="12"/>
        <v>5175</v>
      </c>
      <c r="AN15" s="285">
        <f t="shared" si="12"/>
        <v>5325</v>
      </c>
      <c r="AO15" s="70"/>
      <c r="AP15" s="70"/>
    </row>
    <row r="16" spans="1:42" x14ac:dyDescent="0.25">
      <c r="D16" s="5"/>
      <c r="J16" s="219">
        <f>I17/J17-1</f>
        <v>3.7077362801712033E-2</v>
      </c>
      <c r="Q16" s="293" t="s">
        <v>435</v>
      </c>
      <c r="R16" s="295">
        <v>3.5765714739721899E-2</v>
      </c>
      <c r="S16" s="295">
        <f>(S15/R15)-1</f>
        <v>0.1463844797178131</v>
      </c>
      <c r="T16" s="295">
        <f t="shared" ref="T16:V16" si="13">(T15/S15)-1</f>
        <v>3.076923076923066E-2</v>
      </c>
      <c r="U16" s="295">
        <f t="shared" si="13"/>
        <v>2.9850746268656803E-2</v>
      </c>
      <c r="V16" s="295">
        <f t="shared" si="13"/>
        <v>2.8985507246376718E-2</v>
      </c>
      <c r="AG16" s="70"/>
      <c r="AH16" s="70"/>
      <c r="AI16" s="285" t="s">
        <v>435</v>
      </c>
      <c r="AJ16" s="100">
        <v>3.5765714739721899E-2</v>
      </c>
      <c r="AK16" s="100">
        <f>(AK15/AJ15)-1</f>
        <v>0.1463844797178131</v>
      </c>
      <c r="AL16" s="100">
        <f t="shared" ref="AL16" si="14">(AL15/AK15)-1</f>
        <v>3.076923076923066E-2</v>
      </c>
      <c r="AM16" s="100">
        <f t="shared" ref="AM16" si="15">(AM15/AL15)-1</f>
        <v>2.9850746268656803E-2</v>
      </c>
      <c r="AN16" s="100">
        <f t="shared" ref="AN16" si="16">(AN15/AM15)-1</f>
        <v>2.8985507246376718E-2</v>
      </c>
      <c r="AO16" s="70"/>
      <c r="AP16" s="70"/>
    </row>
    <row r="17" spans="1:42" x14ac:dyDescent="0.25">
      <c r="A17" t="s">
        <v>118</v>
      </c>
      <c r="E17" s="17">
        <f>E15/E7*10^6</f>
        <v>2512.6978379748316</v>
      </c>
      <c r="F17" s="17">
        <f t="shared" ref="F17:J17" si="17">F15/F7*10^6</f>
        <v>2474.7215653761882</v>
      </c>
      <c r="G17" s="17">
        <f t="shared" si="17"/>
        <v>2446.8616810418839</v>
      </c>
      <c r="H17" s="17">
        <f t="shared" si="17"/>
        <v>2373.2646232723037</v>
      </c>
      <c r="I17" s="17">
        <f t="shared" si="17"/>
        <v>2314.5524671468279</v>
      </c>
      <c r="J17" s="216">
        <f t="shared" si="17"/>
        <v>2231.8030941240086</v>
      </c>
      <c r="K17" s="17">
        <f>$J$17*(1-K18)</f>
        <v>2153.6899858296683</v>
      </c>
      <c r="L17" s="17">
        <f t="shared" ref="L17:O17" si="18">$J$17*(1-L18)</f>
        <v>2097.8949084765677</v>
      </c>
      <c r="M17" s="17">
        <f t="shared" si="18"/>
        <v>2080.040483723576</v>
      </c>
      <c r="N17" s="17">
        <f t="shared" si="18"/>
        <v>2073.3450744412039</v>
      </c>
      <c r="O17" s="17">
        <f t="shared" si="18"/>
        <v>2066.6496651588322</v>
      </c>
      <c r="Q17" s="293" t="s">
        <v>436</v>
      </c>
      <c r="R17" s="296">
        <v>61095.158566779864</v>
      </c>
      <c r="S17" s="296">
        <f>R17*(1+S16)</f>
        <v>70038.54156685523</v>
      </c>
      <c r="T17" s="296">
        <f t="shared" ref="T17:V17" si="19">S17*(1+T16)</f>
        <v>72193.573615066154</v>
      </c>
      <c r="U17" s="296">
        <f t="shared" si="19"/>
        <v>74348.605663277092</v>
      </c>
      <c r="V17" s="296">
        <f t="shared" si="19"/>
        <v>76503.637711488016</v>
      </c>
      <c r="AG17" s="70"/>
      <c r="AH17" s="70"/>
      <c r="AI17" s="285" t="s">
        <v>436</v>
      </c>
      <c r="AJ17" s="286">
        <v>61095.158566779864</v>
      </c>
      <c r="AK17" s="286">
        <f>AJ17*(1+AK16)</f>
        <v>70038.54156685523</v>
      </c>
      <c r="AL17" s="286">
        <f t="shared" ref="AL17" si="20">AK17*(1+AL16)</f>
        <v>72193.573615066154</v>
      </c>
      <c r="AM17" s="286">
        <f t="shared" ref="AM17" si="21">AL17*(1+AM16)</f>
        <v>74348.605663277092</v>
      </c>
      <c r="AN17" s="286">
        <f t="shared" ref="AN17" si="22">AM17*(1+AN16)</f>
        <v>76503.637711488016</v>
      </c>
      <c r="AO17" s="70"/>
      <c r="AP17" s="70"/>
    </row>
    <row r="18" spans="1:42" x14ac:dyDescent="0.25">
      <c r="A18" t="s">
        <v>119</v>
      </c>
      <c r="F18" s="34">
        <f>F17/E17-1</f>
        <v>-1.5113744288987485E-2</v>
      </c>
      <c r="G18" s="34">
        <f t="shared" ref="G18:J18" si="23">G17/F17-1</f>
        <v>-1.1257785410727306E-2</v>
      </c>
      <c r="H18" s="34">
        <f t="shared" si="23"/>
        <v>-3.0078143909729405E-2</v>
      </c>
      <c r="I18" s="34">
        <f t="shared" si="23"/>
        <v>-2.4738984245474605E-2</v>
      </c>
      <c r="J18" s="220">
        <f t="shared" si="23"/>
        <v>-3.5751781045095687E-2</v>
      </c>
      <c r="K18" s="152">
        <v>3.5000000000000003E-2</v>
      </c>
      <c r="L18" s="33">
        <v>0.06</v>
      </c>
      <c r="M18" s="152">
        <v>6.8000000000000005E-2</v>
      </c>
      <c r="N18" s="152">
        <v>7.0999999999999994E-2</v>
      </c>
      <c r="O18" s="152">
        <v>7.3999999999999996E-2</v>
      </c>
      <c r="AG18" s="70"/>
      <c r="AH18" s="70"/>
      <c r="AI18" s="70"/>
      <c r="AJ18" s="70"/>
      <c r="AK18" s="70"/>
      <c r="AL18" s="70"/>
      <c r="AM18" s="70"/>
      <c r="AN18" s="70"/>
      <c r="AO18" s="70"/>
      <c r="AP18" s="70"/>
    </row>
    <row r="19" spans="1:42" x14ac:dyDescent="0.25">
      <c r="J19" s="219">
        <f>(E17/J17)^(1/5)-1</f>
        <v>2.3992741408316753E-2</v>
      </c>
      <c r="Q19" s="297"/>
      <c r="R19" s="297"/>
      <c r="S19" s="297"/>
      <c r="T19" s="297"/>
      <c r="U19" s="297"/>
      <c r="V19" s="297"/>
      <c r="AG19" s="70"/>
      <c r="AH19" s="70"/>
      <c r="AI19" s="70"/>
      <c r="AJ19" s="70"/>
      <c r="AK19" s="70"/>
      <c r="AL19" s="70"/>
      <c r="AM19" s="70"/>
      <c r="AN19" s="70"/>
      <c r="AO19" s="70"/>
      <c r="AP19" s="70"/>
    </row>
    <row r="20" spans="1:42" x14ac:dyDescent="0.25">
      <c r="Q20" s="297"/>
      <c r="R20" s="298"/>
      <c r="S20" s="298"/>
      <c r="T20" s="298"/>
      <c r="U20" s="298"/>
      <c r="V20" s="298"/>
    </row>
    <row r="21" spans="1:42" x14ac:dyDescent="0.25">
      <c r="A21" t="s">
        <v>290</v>
      </c>
      <c r="D21" s="19">
        <v>33909.86</v>
      </c>
      <c r="E21" s="19">
        <v>49873.04</v>
      </c>
      <c r="F21" s="19">
        <v>82666.570000000007</v>
      </c>
      <c r="G21" s="19">
        <v>99239.83</v>
      </c>
      <c r="H21" s="5">
        <v>122939</v>
      </c>
      <c r="I21" s="19">
        <v>140624.22</v>
      </c>
      <c r="J21" s="216">
        <v>161970.72</v>
      </c>
      <c r="K21" s="40">
        <v>198026.47798481851</v>
      </c>
      <c r="L21" s="40">
        <v>241326.58405628477</v>
      </c>
      <c r="M21" s="40">
        <v>293837.03458894487</v>
      </c>
      <c r="N21" s="40">
        <v>357472.23535481759</v>
      </c>
      <c r="O21" s="40">
        <v>434536.39510236162</v>
      </c>
      <c r="P21" s="15"/>
    </row>
    <row r="22" spans="1:42" x14ac:dyDescent="0.25">
      <c r="A22" t="s">
        <v>291</v>
      </c>
      <c r="D22" s="19">
        <v>4356.6499999999996</v>
      </c>
      <c r="E22" s="19">
        <v>5680.3399999999992</v>
      </c>
      <c r="F22" s="19">
        <v>9253.44</v>
      </c>
      <c r="G22" s="19">
        <v>11553.329999999998</v>
      </c>
      <c r="H22" s="19">
        <v>15724.87</v>
      </c>
      <c r="I22" s="19">
        <v>20019.95</v>
      </c>
      <c r="J22" s="216">
        <v>22667.599999999999</v>
      </c>
      <c r="K22" s="40">
        <v>26733.574527950503</v>
      </c>
      <c r="L22" s="40">
        <v>32579.088847598447</v>
      </c>
      <c r="M22" s="40">
        <v>38198.814496562831</v>
      </c>
      <c r="N22" s="40">
        <v>44684.029419352199</v>
      </c>
      <c r="O22" s="40">
        <v>54317.049387795203</v>
      </c>
      <c r="P22" s="40"/>
    </row>
    <row r="23" spans="1:42" x14ac:dyDescent="0.25">
      <c r="A23" t="s">
        <v>292</v>
      </c>
      <c r="D23" s="30">
        <v>67.69</v>
      </c>
      <c r="E23" s="30">
        <v>93.22</v>
      </c>
      <c r="F23" s="30">
        <v>111.29</v>
      </c>
      <c r="G23" s="30">
        <v>372.69</v>
      </c>
      <c r="H23" s="30">
        <v>589.5</v>
      </c>
      <c r="I23" s="30">
        <v>754.9</v>
      </c>
      <c r="J23" s="216">
        <v>1167</v>
      </c>
      <c r="K23" s="40">
        <v>1545.59783730814</v>
      </c>
      <c r="L23" s="40">
        <v>2028.3513729109104</v>
      </c>
      <c r="M23" s="40">
        <v>2646.0042423986506</v>
      </c>
      <c r="N23" s="40">
        <v>3433.5229446167941</v>
      </c>
      <c r="O23" s="40">
        <v>4434.4464939543268</v>
      </c>
      <c r="P23" s="15"/>
    </row>
    <row r="24" spans="1:42" x14ac:dyDescent="0.25">
      <c r="A24" t="s">
        <v>58</v>
      </c>
      <c r="D24" s="30">
        <v>1107.3699999999999</v>
      </c>
      <c r="E24" s="30">
        <v>1439.6</v>
      </c>
      <c r="F24" s="30">
        <v>2371.04</v>
      </c>
      <c r="G24" s="30">
        <v>3155.34</v>
      </c>
      <c r="H24" s="30">
        <v>3945.83</v>
      </c>
      <c r="I24" s="30">
        <v>4613.93</v>
      </c>
      <c r="J24" s="216">
        <v>7890.7</v>
      </c>
      <c r="K24" s="40">
        <v>5940.7943395445554</v>
      </c>
      <c r="L24" s="40">
        <v>7239.7975216885434</v>
      </c>
      <c r="M24" s="40">
        <v>8815.1110376683464</v>
      </c>
      <c r="N24" s="40">
        <v>10724.167060644528</v>
      </c>
      <c r="O24" s="40">
        <v>13036.091853070848</v>
      </c>
      <c r="P24" s="15"/>
    </row>
    <row r="25" spans="1:42" ht="15.75" thickBot="1" x14ac:dyDescent="0.3">
      <c r="A25" s="165" t="s">
        <v>59</v>
      </c>
      <c r="B25" s="162"/>
      <c r="C25" s="162"/>
      <c r="D25" s="163">
        <v>39441.700473555487</v>
      </c>
      <c r="E25" s="163">
        <v>57086.315765150866</v>
      </c>
      <c r="F25" s="163">
        <v>94402.453283156661</v>
      </c>
      <c r="G25" s="163">
        <v>114321.3101737246</v>
      </c>
      <c r="H25" s="163">
        <v>143199.33270296649</v>
      </c>
      <c r="I25" s="163">
        <v>166013.14773308608</v>
      </c>
      <c r="J25" s="222">
        <v>193696.16715375718</v>
      </c>
      <c r="K25" s="164">
        <v>232246.58749462763</v>
      </c>
      <c r="L25" s="164">
        <v>283173.96520348865</v>
      </c>
      <c r="M25" s="164">
        <v>343497.10337058065</v>
      </c>
      <c r="N25" s="164">
        <v>416314.08938443707</v>
      </c>
      <c r="O25" s="164">
        <v>506324.11804218794</v>
      </c>
      <c r="P25" s="15"/>
    </row>
    <row r="26" spans="1:42" x14ac:dyDescent="0.25">
      <c r="A26" t="s">
        <v>46</v>
      </c>
      <c r="D26" s="18">
        <v>15213.26</v>
      </c>
      <c r="E26" s="18">
        <v>28735.91</v>
      </c>
      <c r="F26" s="18">
        <v>43126.26</v>
      </c>
      <c r="G26" s="18">
        <v>55133.5</v>
      </c>
      <c r="H26" s="18">
        <v>57484.86</v>
      </c>
      <c r="I26" s="18">
        <v>47793.24</v>
      </c>
      <c r="J26" s="215">
        <v>63415.13</v>
      </c>
      <c r="K26" s="18">
        <f>K13</f>
        <v>88047.369979556737</v>
      </c>
      <c r="L26" s="209">
        <f>L13</f>
        <v>109130.02490996422</v>
      </c>
      <c r="M26" s="209">
        <f>M13</f>
        <v>123622.97355575164</v>
      </c>
      <c r="N26" s="209">
        <f>N13</f>
        <v>148476.98396386791</v>
      </c>
      <c r="O26" s="209">
        <f>O13</f>
        <v>178058.98908677121</v>
      </c>
    </row>
    <row r="27" spans="1:42" x14ac:dyDescent="0.25">
      <c r="D27" s="175">
        <f>D26/D$25</f>
        <v>0.3857151141391596</v>
      </c>
      <c r="E27" s="175">
        <f t="shared" ref="E27" si="24">E26/E$25</f>
        <v>0.50337650301724735</v>
      </c>
      <c r="F27" s="175">
        <f t="shared" ref="F27" si="25">F26/F$25</f>
        <v>0.45683410229440102</v>
      </c>
      <c r="G27" s="175">
        <f t="shared" ref="G27" si="26">G26/G$25</f>
        <v>0.48226791589615442</v>
      </c>
      <c r="H27" s="175">
        <f t="shared" ref="H27" si="27">H26/H$25</f>
        <v>0.40143245722547388</v>
      </c>
      <c r="I27" s="175">
        <f t="shared" ref="I27" si="28">I26/I$25</f>
        <v>0.28788828266084915</v>
      </c>
      <c r="J27" s="223">
        <f t="shared" ref="J27" si="29">J26/J$25</f>
        <v>0.32739486243762733</v>
      </c>
      <c r="K27" s="175">
        <f t="shared" ref="K27" si="30">K26/K$25</f>
        <v>0.37911157674854301</v>
      </c>
      <c r="L27" s="175">
        <f t="shared" ref="L27" si="31">L26/L$25</f>
        <v>0.38538156158368392</v>
      </c>
      <c r="M27" s="175">
        <f t="shared" ref="M27" si="32">M26/M$25</f>
        <v>0.35989524319912947</v>
      </c>
      <c r="N27" s="175">
        <f t="shared" ref="N27" si="33">N26/N$25</f>
        <v>0.35664655064498613</v>
      </c>
      <c r="O27" s="175">
        <f t="shared" ref="O27" si="34">O26/O$25</f>
        <v>0.35166997332711492</v>
      </c>
    </row>
    <row r="28" spans="1:42" x14ac:dyDescent="0.25">
      <c r="A28" t="s">
        <v>47</v>
      </c>
      <c r="D28" s="18">
        <v>6372.43</v>
      </c>
      <c r="E28" s="18">
        <v>10634.4</v>
      </c>
      <c r="F28" s="18">
        <v>17149.509999999998</v>
      </c>
      <c r="G28" s="18">
        <v>20310.310000000001</v>
      </c>
      <c r="H28" s="18">
        <v>23075.5</v>
      </c>
      <c r="I28" s="18">
        <v>29687.48</v>
      </c>
      <c r="J28" s="215">
        <v>36585.729999999996</v>
      </c>
      <c r="K28" s="18">
        <f>K29*K$25</f>
        <v>41804.385749032976</v>
      </c>
      <c r="L28" s="18">
        <f t="shared" ref="L28:O28" si="35">L29*L$25</f>
        <v>50121.79184101749</v>
      </c>
      <c r="M28" s="18">
        <f t="shared" si="35"/>
        <v>59768.49598648103</v>
      </c>
      <c r="N28" s="18">
        <f t="shared" si="35"/>
        <v>71189.709284738739</v>
      </c>
      <c r="O28" s="18">
        <f t="shared" si="35"/>
        <v>85062.451831087572</v>
      </c>
    </row>
    <row r="29" spans="1:42" x14ac:dyDescent="0.25">
      <c r="D29" s="175">
        <f>D28/D$25</f>
        <v>0.16156580277953608</v>
      </c>
      <c r="E29" s="175">
        <f t="shared" ref="E29" si="36">E28/E$25</f>
        <v>0.1862863254960993</v>
      </c>
      <c r="F29" s="175">
        <f t="shared" ref="F29" si="37">F28/F$25</f>
        <v>0.18166381702560927</v>
      </c>
      <c r="G29" s="175">
        <f t="shared" ref="G29" si="38">G28/G$25</f>
        <v>0.17765987784023915</v>
      </c>
      <c r="H29" s="175">
        <f t="shared" ref="H29" si="39">H28/H$25</f>
        <v>0.16114251068379434</v>
      </c>
      <c r="I29" s="175">
        <f t="shared" ref="I29" si="40">I28/I$25</f>
        <v>0.17882607736425291</v>
      </c>
      <c r="J29" s="223">
        <f>J28/J$25</f>
        <v>0.18888205449598816</v>
      </c>
      <c r="K29" s="175">
        <v>0.18</v>
      </c>
      <c r="L29" s="278">
        <f>K29-0.3%</f>
        <v>0.17699999999999999</v>
      </c>
      <c r="M29" s="278">
        <f t="shared" ref="M29:O29" si="41">L29-0.3%</f>
        <v>0.17399999999999999</v>
      </c>
      <c r="N29" s="278">
        <f t="shared" si="41"/>
        <v>0.17099999999999999</v>
      </c>
      <c r="O29" s="278">
        <f t="shared" si="41"/>
        <v>0.16799999999999998</v>
      </c>
    </row>
    <row r="30" spans="1:42" x14ac:dyDescent="0.25">
      <c r="A30" t="s">
        <v>331</v>
      </c>
      <c r="D30" s="18">
        <f>'Assumptions Sheet'!D51</f>
        <v>-2273.94</v>
      </c>
      <c r="E30" s="18">
        <f>'Assumptions Sheet'!E51</f>
        <v>-2627.25</v>
      </c>
      <c r="F30" s="18">
        <f>'Assumptions Sheet'!F51</f>
        <v>-3588.03</v>
      </c>
      <c r="G30" s="18">
        <f>'Assumptions Sheet'!G51</f>
        <v>-3607.17</v>
      </c>
      <c r="H30" s="18">
        <f>'Assumptions Sheet'!H51</f>
        <v>-3553.12</v>
      </c>
      <c r="I30" s="18">
        <f>'Assumptions Sheet'!I51</f>
        <v>-3565.96</v>
      </c>
      <c r="J30" s="215">
        <f>'Assumptions Sheet'!J51</f>
        <v>-5332</v>
      </c>
      <c r="K30" s="18">
        <f>30%*-'Balance sheet'!K16</f>
        <v>-6681.5826000000006</v>
      </c>
      <c r="L30" s="209">
        <f>30%*-'Balance sheet'!L16</f>
        <v>-5277.3572123478234</v>
      </c>
      <c r="M30" s="209">
        <f>30%*-'Balance sheet'!M16</f>
        <v>-7469.2750440312993</v>
      </c>
      <c r="N30" s="209">
        <f>30%*-'Balance sheet'!N16</f>
        <v>-9622.2689585816315</v>
      </c>
      <c r="O30" s="209">
        <f>30%*-'Balance sheet'!O16</f>
        <v>-11929.023315629523</v>
      </c>
    </row>
    <row r="31" spans="1:42" x14ac:dyDescent="0.25">
      <c r="D31" s="175">
        <f>D30/D28</f>
        <v>-0.35684032621778505</v>
      </c>
      <c r="E31" s="175">
        <f t="shared" ref="E31:J31" si="42">E30/E28</f>
        <v>-0.24705201986007674</v>
      </c>
      <c r="F31" s="175">
        <f t="shared" si="42"/>
        <v>-0.20922055498961781</v>
      </c>
      <c r="G31" s="175">
        <f t="shared" si="42"/>
        <v>-0.17760290217136024</v>
      </c>
      <c r="H31" s="175">
        <f t="shared" si="42"/>
        <v>-0.15397802864509977</v>
      </c>
      <c r="I31" s="175">
        <f t="shared" si="42"/>
        <v>-0.12011662828909696</v>
      </c>
      <c r="J31" s="223">
        <f t="shared" si="42"/>
        <v>-0.14573988273570052</v>
      </c>
      <c r="K31" s="175">
        <f t="shared" ref="K31" si="43">K30/K$25</f>
        <v>-2.8769346719269062E-2</v>
      </c>
      <c r="L31" s="175">
        <f t="shared" ref="L31" si="44">L30/L$25</f>
        <v>-1.8636449182591761E-2</v>
      </c>
      <c r="M31" s="175">
        <f t="shared" ref="M31" si="45">M30/M$25</f>
        <v>-2.1744797760268442E-2</v>
      </c>
      <c r="N31" s="175">
        <f t="shared" ref="N31" si="46">N30/N$25</f>
        <v>-2.3113003388401145E-2</v>
      </c>
      <c r="O31" s="175">
        <f t="shared" ref="O31" si="47">O30/O$25</f>
        <v>-2.3560053512275261E-2</v>
      </c>
    </row>
    <row r="32" spans="1:42" x14ac:dyDescent="0.25">
      <c r="A32" t="s">
        <v>42</v>
      </c>
      <c r="D32" s="18">
        <v>190.93</v>
      </c>
      <c r="E32" s="18">
        <v>341.79</v>
      </c>
      <c r="F32" s="18">
        <v>559.94000000000005</v>
      </c>
      <c r="G32" s="18">
        <v>589.63</v>
      </c>
      <c r="H32" s="18">
        <v>817.1</v>
      </c>
      <c r="I32" s="18">
        <v>1147.82</v>
      </c>
      <c r="J32" s="215">
        <v>1238.32</v>
      </c>
      <c r="K32" s="18">
        <f>K33*K$25</f>
        <v>1393.4795249677659</v>
      </c>
      <c r="L32" s="18">
        <f t="shared" ref="L32:O32" si="48">L33*L$25</f>
        <v>1699.043791220932</v>
      </c>
      <c r="M32" s="18">
        <f t="shared" si="48"/>
        <v>2060.982620223484</v>
      </c>
      <c r="N32" s="18">
        <f t="shared" si="48"/>
        <v>2497.8845363066225</v>
      </c>
      <c r="O32" s="18">
        <f t="shared" si="48"/>
        <v>3037.9447082531278</v>
      </c>
    </row>
    <row r="33" spans="1:20" x14ac:dyDescent="0.25">
      <c r="D33" s="175">
        <f>D32/D$25</f>
        <v>4.8408156268012082E-3</v>
      </c>
      <c r="E33" s="175">
        <f t="shared" ref="E33" si="49">E32/E$25</f>
        <v>5.9872492281004839E-3</v>
      </c>
      <c r="F33" s="175">
        <f t="shared" ref="F33" si="50">F32/F$25</f>
        <v>5.9314136500296316E-3</v>
      </c>
      <c r="G33" s="175">
        <f t="shared" ref="G33" si="51">G32/G$25</f>
        <v>5.1576560757044176E-3</v>
      </c>
      <c r="H33" s="175">
        <f t="shared" ref="H33" si="52">H32/H$25</f>
        <v>5.7060321761057556E-3</v>
      </c>
      <c r="I33" s="175">
        <f t="shared" ref="I33" si="53">I32/I$25</f>
        <v>6.9140306998181312E-3</v>
      </c>
      <c r="J33" s="223">
        <f t="shared" ref="J33" si="54">J32/J$25</f>
        <v>6.3931053370664482E-3</v>
      </c>
      <c r="K33" s="175">
        <v>6.0000000000000001E-3</v>
      </c>
      <c r="L33" s="175">
        <f>K33</f>
        <v>6.0000000000000001E-3</v>
      </c>
      <c r="M33" s="175">
        <f t="shared" ref="M33:O33" si="55">L33</f>
        <v>6.0000000000000001E-3</v>
      </c>
      <c r="N33" s="175">
        <f t="shared" si="55"/>
        <v>6.0000000000000001E-3</v>
      </c>
      <c r="O33" s="175">
        <f t="shared" si="55"/>
        <v>6.0000000000000001E-3</v>
      </c>
    </row>
    <row r="34" spans="1:20" x14ac:dyDescent="0.25">
      <c r="A34" s="29" t="s">
        <v>323</v>
      </c>
      <c r="D34" s="18">
        <v>-1.1000000000000001</v>
      </c>
      <c r="E34" s="18">
        <v>-6.83</v>
      </c>
      <c r="F34" s="18">
        <v>-18.649999999999999</v>
      </c>
      <c r="G34" s="18">
        <v>7.06</v>
      </c>
      <c r="H34" s="18">
        <v>-31.72</v>
      </c>
      <c r="I34" s="18">
        <v>-11.32</v>
      </c>
      <c r="J34" s="215">
        <v>-2.94</v>
      </c>
      <c r="K34" s="18"/>
      <c r="L34" s="18"/>
      <c r="M34" s="18"/>
      <c r="N34" s="18"/>
      <c r="O34" s="18"/>
    </row>
    <row r="35" spans="1:20" ht="16.5" customHeight="1" x14ac:dyDescent="0.25">
      <c r="A35" s="29" t="s">
        <v>44</v>
      </c>
      <c r="D35" s="18">
        <v>2930.16</v>
      </c>
      <c r="E35" s="18">
        <v>5118.6000000000004</v>
      </c>
      <c r="F35" s="18">
        <v>6904.52</v>
      </c>
      <c r="G35" s="18">
        <v>9211.08</v>
      </c>
      <c r="H35" s="18">
        <v>11886.91</v>
      </c>
      <c r="I35" s="18">
        <v>17899.23</v>
      </c>
      <c r="J35" s="215">
        <v>20481.900000000001</v>
      </c>
      <c r="K35" s="18">
        <f>K36*K$25</f>
        <v>24385.891686935902</v>
      </c>
      <c r="L35" s="18">
        <f t="shared" ref="L35" si="56">L36*L$25</f>
        <v>29733.266346366308</v>
      </c>
      <c r="M35" s="18">
        <f t="shared" ref="M35" si="57">M36*M$25</f>
        <v>36067.195853910969</v>
      </c>
      <c r="N35" s="18">
        <f t="shared" ref="N35" si="58">N36*N$25</f>
        <v>43712.979385365892</v>
      </c>
      <c r="O35" s="18">
        <f t="shared" ref="O35" si="59">O36*O$25</f>
        <v>53164.032394429734</v>
      </c>
    </row>
    <row r="36" spans="1:20" ht="16.5" customHeight="1" x14ac:dyDescent="0.25">
      <c r="A36" s="29"/>
      <c r="D36" s="175">
        <f>D35/D$25</f>
        <v>7.4290914560455806E-2</v>
      </c>
      <c r="E36" s="175">
        <f t="shared" ref="E36" si="60">E35/E$25</f>
        <v>8.9664220424691007E-2</v>
      </c>
      <c r="F36" s="175">
        <f t="shared" ref="F36" si="61">F35/F$25</f>
        <v>7.3139200940998308E-2</v>
      </c>
      <c r="G36" s="175">
        <f t="shared" ref="G36" si="62">G35/G$25</f>
        <v>8.0571854766208387E-2</v>
      </c>
      <c r="H36" s="175">
        <f t="shared" ref="H36" si="63">H35/H$25</f>
        <v>8.3009534860449471E-2</v>
      </c>
      <c r="I36" s="175">
        <f t="shared" ref="I36" si="64">I35/I$25</f>
        <v>0.10781814720348634</v>
      </c>
      <c r="J36" s="223">
        <f t="shared" ref="J36" si="65">J35/J$25</f>
        <v>0.10574241246467901</v>
      </c>
      <c r="K36" s="175">
        <v>0.105</v>
      </c>
      <c r="L36" s="175">
        <v>0.105</v>
      </c>
      <c r="M36" s="175">
        <v>0.105</v>
      </c>
      <c r="N36" s="175">
        <v>0.105</v>
      </c>
      <c r="O36" s="175">
        <v>0.105</v>
      </c>
    </row>
    <row r="37" spans="1:20" x14ac:dyDescent="0.25">
      <c r="A37" s="29" t="s">
        <v>56</v>
      </c>
      <c r="D37" s="18">
        <v>449.91</v>
      </c>
      <c r="E37" s="18">
        <v>514.27</v>
      </c>
      <c r="F37" s="18">
        <v>578.01</v>
      </c>
      <c r="G37" s="18">
        <v>1225.77</v>
      </c>
      <c r="H37" s="18">
        <v>1155.32</v>
      </c>
      <c r="I37" s="174">
        <v>3041</v>
      </c>
      <c r="J37" s="224">
        <v>3307.8</v>
      </c>
      <c r="K37" s="209">
        <f>'Debt schedule'!K12</f>
        <v>1527.28125</v>
      </c>
      <c r="L37" s="209">
        <f>'Debt schedule'!L12</f>
        <v>2111.6100750000001</v>
      </c>
      <c r="M37" s="209">
        <f>'Debt schedule'!M12</f>
        <v>2541.0398249999994</v>
      </c>
      <c r="N37" s="209">
        <f>'Debt schedule'!N12</f>
        <v>2962.1895749999999</v>
      </c>
      <c r="O37" s="209">
        <f>'Debt schedule'!O12</f>
        <v>3375.0593249999993</v>
      </c>
      <c r="T37" s="290">
        <v>58985.5</v>
      </c>
    </row>
    <row r="38" spans="1:20" x14ac:dyDescent="0.25">
      <c r="A38" s="29"/>
      <c r="D38" s="175">
        <f>D37/D$25</f>
        <v>1.1406962544671511E-2</v>
      </c>
      <c r="E38" s="175">
        <f t="shared" ref="E38" si="66">E37/E$25</f>
        <v>9.0086388148723946E-3</v>
      </c>
      <c r="F38" s="175">
        <f t="shared" ref="F38" si="67">F37/F$25</f>
        <v>6.1228281670422319E-3</v>
      </c>
      <c r="G38" s="175">
        <f t="shared" ref="G38" si="68">G37/G$25</f>
        <v>1.0722147936699632E-2</v>
      </c>
      <c r="H38" s="175">
        <f t="shared" ref="H38" si="69">H37/H$25</f>
        <v>8.0679146906113101E-3</v>
      </c>
      <c r="I38" s="175">
        <f t="shared" ref="I38" si="70">I37/I$25</f>
        <v>1.8317826277767367E-2</v>
      </c>
      <c r="J38" s="223">
        <f t="shared" ref="J38" si="71">J37/J$25</f>
        <v>1.7077260993885589E-2</v>
      </c>
      <c r="K38" s="175">
        <v>1.7000000000000001E-2</v>
      </c>
      <c r="L38" s="175">
        <v>1.7000000000000001E-2</v>
      </c>
      <c r="M38" s="175">
        <v>1.7000000000000001E-2</v>
      </c>
      <c r="N38" s="175">
        <v>1.7000000000000001E-2</v>
      </c>
      <c r="O38" s="175">
        <v>1.7000000000000001E-2</v>
      </c>
    </row>
    <row r="39" spans="1:20" x14ac:dyDescent="0.25">
      <c r="A39" s="29" t="s">
        <v>328</v>
      </c>
      <c r="D39" s="18">
        <v>628.70000000000005</v>
      </c>
      <c r="E39" s="18">
        <v>665.23</v>
      </c>
      <c r="F39" s="18">
        <v>856.2</v>
      </c>
      <c r="G39" s="18">
        <v>2260.08</v>
      </c>
      <c r="H39" s="18">
        <v>3022.14</v>
      </c>
      <c r="I39" s="18">
        <v>5054.68</v>
      </c>
      <c r="J39" s="215">
        <v>4572.53</v>
      </c>
      <c r="K39" s="18">
        <f>K40*K$25</f>
        <v>5806.164687365691</v>
      </c>
      <c r="L39" s="18">
        <f t="shared" ref="L39:O39" si="72">L40*L$25</f>
        <v>7079.3491300872165</v>
      </c>
      <c r="M39" s="18">
        <f t="shared" si="72"/>
        <v>8587.4275842645166</v>
      </c>
      <c r="N39" s="18">
        <f t="shared" si="72"/>
        <v>10407.852234610928</v>
      </c>
      <c r="O39" s="18">
        <f t="shared" si="72"/>
        <v>12658.1029510547</v>
      </c>
    </row>
    <row r="40" spans="1:20" x14ac:dyDescent="0.25">
      <c r="A40" s="29"/>
      <c r="D40" s="175">
        <f>D39/D$25</f>
        <v>1.5939982111611163E-2</v>
      </c>
      <c r="E40" s="175">
        <f t="shared" ref="E40:J40" si="73">E39/E$25</f>
        <v>1.1653055396615713E-2</v>
      </c>
      <c r="F40" s="175">
        <f t="shared" si="73"/>
        <v>9.0696795498720773E-3</v>
      </c>
      <c r="G40" s="175">
        <f t="shared" si="73"/>
        <v>1.9769542498817971E-2</v>
      </c>
      <c r="H40" s="175">
        <f t="shared" si="73"/>
        <v>2.1104427953367089E-2</v>
      </c>
      <c r="I40" s="175">
        <f t="shared" si="73"/>
        <v>3.0447467980830371E-2</v>
      </c>
      <c r="J40" s="223">
        <f t="shared" si="73"/>
        <v>2.3606713892125174E-2</v>
      </c>
      <c r="K40" s="175">
        <v>2.5000000000000001E-2</v>
      </c>
      <c r="L40" s="175">
        <v>2.5000000000000001E-2</v>
      </c>
      <c r="M40" s="175">
        <v>2.5000000000000001E-2</v>
      </c>
      <c r="N40" s="175">
        <v>2.5000000000000001E-2</v>
      </c>
      <c r="O40" s="175">
        <v>2.5000000000000001E-2</v>
      </c>
    </row>
    <row r="41" spans="1:20" x14ac:dyDescent="0.25">
      <c r="A41" s="29" t="s">
        <v>332</v>
      </c>
      <c r="D41" s="18">
        <f>'Assumptions Sheet'!D73</f>
        <v>8783.7200000000012</v>
      </c>
      <c r="E41" s="18">
        <f>'Assumptions Sheet'!E73</f>
        <v>12961.039999999999</v>
      </c>
      <c r="F41" s="18">
        <f>'Assumptions Sheet'!F73</f>
        <v>18961.400000000001</v>
      </c>
      <c r="G41" s="18">
        <f>'Assumptions Sheet'!G73</f>
        <v>24471.95</v>
      </c>
      <c r="H41" s="18">
        <f>'Assumptions Sheet'!H73</f>
        <v>30876.97</v>
      </c>
      <c r="I41" s="18">
        <f>'Assumptions Sheet'!I73</f>
        <v>38393.71</v>
      </c>
      <c r="J41" s="215">
        <f>'Assumptions Sheet'!J73</f>
        <v>47985.83</v>
      </c>
      <c r="K41" s="18">
        <f>K42*K$25</f>
        <v>51094.24924881808</v>
      </c>
      <c r="L41" s="18">
        <f t="shared" ref="L41:O41" si="74">L42*L$25</f>
        <v>62298.272344767502</v>
      </c>
      <c r="M41" s="18">
        <f t="shared" si="74"/>
        <v>75569.362741527744</v>
      </c>
      <c r="N41" s="18">
        <f t="shared" si="74"/>
        <v>91589.099664576162</v>
      </c>
      <c r="O41" s="18">
        <f t="shared" si="74"/>
        <v>111391.30596928134</v>
      </c>
    </row>
    <row r="42" spans="1:20" x14ac:dyDescent="0.25">
      <c r="A42" s="29"/>
      <c r="D42" s="175">
        <f>D41/D$25</f>
        <v>0.22270135147669989</v>
      </c>
      <c r="E42" s="175">
        <f t="shared" ref="E42" si="75">E41/E$25</f>
        <v>0.22704285302489682</v>
      </c>
      <c r="F42" s="175">
        <f t="shared" ref="F42" si="76">F41/F$25</f>
        <v>0.20085706822815277</v>
      </c>
      <c r="G42" s="175">
        <f t="shared" ref="G42" si="77">G41/G$25</f>
        <v>0.21406288961184936</v>
      </c>
      <c r="H42" s="175">
        <f t="shared" ref="H42" si="78">H41/H$25</f>
        <v>0.21562230366008095</v>
      </c>
      <c r="I42" s="175">
        <f t="shared" ref="I42" si="79">I41/I$25</f>
        <v>0.23126909238374865</v>
      </c>
      <c r="J42" s="223">
        <f t="shared" ref="J42" si="80">J41/J$25</f>
        <v>0.2477376331453609</v>
      </c>
      <c r="K42" s="175">
        <f>22%</f>
        <v>0.22</v>
      </c>
      <c r="L42" s="175">
        <f>22%</f>
        <v>0.22</v>
      </c>
      <c r="M42" s="175">
        <f>22%</f>
        <v>0.22</v>
      </c>
      <c r="N42" s="175">
        <f>22%</f>
        <v>0.22</v>
      </c>
      <c r="O42" s="175">
        <f>22%</f>
        <v>0.22</v>
      </c>
    </row>
    <row r="43" spans="1:20" ht="15.75" thickBot="1" x14ac:dyDescent="0.3">
      <c r="A43" s="165" t="s">
        <v>329</v>
      </c>
      <c r="B43" s="162"/>
      <c r="C43" s="162"/>
      <c r="D43" s="163">
        <f>SUM(D26,D28,D30,D32,D34,D35,D37,D39,D41)</f>
        <v>32294.070000000007</v>
      </c>
      <c r="E43" s="163">
        <f t="shared" ref="E43:O43" si="81">SUM(E26,E28,E30,E32,E34,E35,E37,E39,E41)</f>
        <v>56337.159999999996</v>
      </c>
      <c r="F43" s="163">
        <f t="shared" si="81"/>
        <v>84529.16</v>
      </c>
      <c r="G43" s="163">
        <f t="shared" si="81"/>
        <v>109602.21</v>
      </c>
      <c r="H43" s="163">
        <f t="shared" si="81"/>
        <v>124733.96000000002</v>
      </c>
      <c r="I43" s="163">
        <f t="shared" si="81"/>
        <v>139439.87999999998</v>
      </c>
      <c r="J43" s="222">
        <f t="shared" si="81"/>
        <v>172252.3</v>
      </c>
      <c r="K43" s="163">
        <f t="shared" si="81"/>
        <v>207377.23952667718</v>
      </c>
      <c r="L43" s="163">
        <f t="shared" si="81"/>
        <v>256896.00122607587</v>
      </c>
      <c r="M43" s="163">
        <f t="shared" si="81"/>
        <v>300748.20312312804</v>
      </c>
      <c r="N43" s="163">
        <f t="shared" si="81"/>
        <v>361214.42968588462</v>
      </c>
      <c r="O43" s="163">
        <f t="shared" si="81"/>
        <v>434818.86295024818</v>
      </c>
    </row>
    <row r="44" spans="1:20" x14ac:dyDescent="0.25">
      <c r="D44" s="18"/>
      <c r="E44" s="18"/>
      <c r="F44" s="18"/>
      <c r="G44" s="18"/>
      <c r="H44" s="18"/>
      <c r="I44" s="18"/>
      <c r="J44" s="215"/>
      <c r="K44" s="17"/>
      <c r="L44" s="17"/>
      <c r="M44" s="17"/>
      <c r="N44" s="17"/>
      <c r="O44" s="17"/>
    </row>
    <row r="45" spans="1:20" x14ac:dyDescent="0.25">
      <c r="D45" s="31"/>
      <c r="E45" s="31"/>
      <c r="F45" s="31"/>
      <c r="G45" s="31"/>
      <c r="H45" s="31"/>
      <c r="I45" s="31"/>
      <c r="J45" s="221"/>
    </row>
    <row r="46" spans="1:20" x14ac:dyDescent="0.25">
      <c r="A46" s="205" t="s">
        <v>409</v>
      </c>
      <c r="D46" s="17">
        <f>-'CashFlow Statement'!D46</f>
        <v>0</v>
      </c>
      <c r="E46" s="17">
        <f>-'CashFlow Statement'!E46</f>
        <v>4904.3100000000004</v>
      </c>
      <c r="F46" s="17">
        <f>-'CashFlow Statement'!F46</f>
        <v>5486.38</v>
      </c>
      <c r="G46" s="17">
        <f>-'CashFlow Statement'!G46</f>
        <v>0</v>
      </c>
      <c r="H46" s="17">
        <f>-'CashFlow Statement'!H46</f>
        <v>13575.3</v>
      </c>
      <c r="I46" s="17">
        <f>-'CashFlow Statement'!I46</f>
        <v>11026.49</v>
      </c>
      <c r="J46" s="17">
        <f>-'CashFlow Statement'!J46</f>
        <v>5422.03</v>
      </c>
      <c r="K46" s="250">
        <f>K48*'Income statement'!K31</f>
        <v>12650.086024921766</v>
      </c>
      <c r="L46" s="17">
        <f>L48*'Income statement'!L31</f>
        <v>14158.117663247549</v>
      </c>
      <c r="M46" s="17">
        <f>M48*'Income statement'!M31</f>
        <v>17415.180861514073</v>
      </c>
      <c r="N46" s="17">
        <f>N48*'Income statement'!N31</f>
        <v>20797.252616396334</v>
      </c>
      <c r="O46" s="17">
        <f>O48*'Income statement'!O31</f>
        <v>25031.65006213896</v>
      </c>
    </row>
    <row r="47" spans="1:20" x14ac:dyDescent="0.25">
      <c r="A47" s="205" t="s">
        <v>410</v>
      </c>
      <c r="D47" s="17">
        <f>-'CashFlow Statement'!D47</f>
        <v>0</v>
      </c>
      <c r="E47" s="17">
        <f>-'CashFlow Statement'!E47</f>
        <v>795.59</v>
      </c>
      <c r="F47" s="17">
        <f>-'CashFlow Statement'!F47</f>
        <v>890.03</v>
      </c>
      <c r="G47" s="17">
        <f>-'CashFlow Statement'!G47</f>
        <v>0</v>
      </c>
      <c r="H47" s="17">
        <f>-'CashFlow Statement'!H47</f>
        <v>2552.83</v>
      </c>
      <c r="I47" s="17">
        <f>-'CashFlow Statement'!I47</f>
        <v>2244.77</v>
      </c>
      <c r="J47" s="17">
        <f>-'CashFlow Statement'!J47</f>
        <v>1103.8</v>
      </c>
      <c r="K47" s="250">
        <f>K46*K49</f>
        <v>2575.2651597849226</v>
      </c>
      <c r="L47" s="17">
        <f t="shared" ref="L47:O47" si="82">L46*L49</f>
        <v>2882.2655493777506</v>
      </c>
      <c r="M47" s="17">
        <f t="shared" si="82"/>
        <v>3545.3283428788172</v>
      </c>
      <c r="N47" s="17">
        <f t="shared" si="82"/>
        <v>4233.8399894464383</v>
      </c>
      <c r="O47" s="17">
        <f t="shared" si="82"/>
        <v>5095.8654486583409</v>
      </c>
    </row>
    <row r="48" spans="1:20" x14ac:dyDescent="0.25">
      <c r="A48" s="205" t="s">
        <v>411</v>
      </c>
      <c r="D48" s="31">
        <f>D46/'Income statement'!D31</f>
        <v>0</v>
      </c>
      <c r="E48" s="31">
        <f>E46/'Income statement'!E31</f>
        <v>3.4882783049063466</v>
      </c>
      <c r="F48" s="31">
        <f>F46/'Income statement'!F31</f>
        <v>0.70036777612250956</v>
      </c>
      <c r="G48" s="31">
        <f>G46/'Income statement'!G31</f>
        <v>0</v>
      </c>
      <c r="H48" s="31">
        <f>H46/'Income statement'!H31</f>
        <v>1.0409133151148804</v>
      </c>
      <c r="I48" s="31">
        <f>I46/'Income statement'!I31</f>
        <v>0.49952523201567117</v>
      </c>
      <c r="J48" s="31">
        <f>J46/'Income statement'!J31</f>
        <v>0.32679623927234874</v>
      </c>
      <c r="K48" s="251">
        <f>J48</f>
        <v>0.32679623927234874</v>
      </c>
      <c r="L48" s="38">
        <f t="shared" ref="L48:O48" si="83">K48</f>
        <v>0.32679623927234874</v>
      </c>
      <c r="M48" s="38">
        <f t="shared" si="83"/>
        <v>0.32679623927234874</v>
      </c>
      <c r="N48" s="38">
        <f t="shared" si="83"/>
        <v>0.32679623927234874</v>
      </c>
      <c r="O48" s="38">
        <f t="shared" si="83"/>
        <v>0.32679623927234874</v>
      </c>
    </row>
    <row r="49" spans="1:15" x14ac:dyDescent="0.25">
      <c r="A49" s="205" t="s">
        <v>412</v>
      </c>
      <c r="D49" s="31">
        <v>0</v>
      </c>
      <c r="E49" s="31">
        <f t="shared" ref="E49:J49" si="84">E47/E46</f>
        <v>0.16222261643330049</v>
      </c>
      <c r="F49" s="31">
        <f t="shared" si="84"/>
        <v>0.16222536535930795</v>
      </c>
      <c r="G49" s="31">
        <v>0</v>
      </c>
      <c r="H49" s="31">
        <f t="shared" si="84"/>
        <v>0.18804961952958682</v>
      </c>
      <c r="I49" s="31">
        <f t="shared" si="84"/>
        <v>0.20357974296444289</v>
      </c>
      <c r="J49" s="31">
        <f t="shared" si="84"/>
        <v>0.20357688909873239</v>
      </c>
      <c r="K49" s="251">
        <f>J49</f>
        <v>0.20357688909873239</v>
      </c>
      <c r="L49" s="38">
        <f t="shared" ref="L49:O49" si="85">K49</f>
        <v>0.20357688909873239</v>
      </c>
      <c r="M49" s="38">
        <f t="shared" si="85"/>
        <v>0.20357688909873239</v>
      </c>
      <c r="N49" s="38">
        <f t="shared" si="85"/>
        <v>0.20357688909873239</v>
      </c>
      <c r="O49" s="38">
        <f t="shared" si="85"/>
        <v>0.20357688909873239</v>
      </c>
    </row>
    <row r="53" spans="1:15" x14ac:dyDescent="0.25">
      <c r="D53" s="31"/>
      <c r="E53" s="31"/>
    </row>
  </sheetData>
  <mergeCells count="1">
    <mergeCell ref="A1:C1"/>
  </mergeCells>
  <pageMargins left="0.7" right="0.7" top="0.75" bottom="0.75" header="0.3" footer="0.3"/>
  <pageSetup paperSize="9" orientation="portrait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8"/>
  <sheetViews>
    <sheetView workbookViewId="0">
      <pane ySplit="1" topLeftCell="A91" activePane="bottomLeft" state="frozen"/>
      <selection pane="bottomLeft" activeCell="F96" sqref="F96"/>
    </sheetView>
  </sheetViews>
  <sheetFormatPr defaultRowHeight="15" x14ac:dyDescent="0.25"/>
  <cols>
    <col min="1" max="1" width="18.5703125" bestFit="1" customWidth="1"/>
    <col min="6" max="6" width="10" bestFit="1" customWidth="1"/>
    <col min="7" max="7" width="10.140625" bestFit="1" customWidth="1"/>
    <col min="8" max="8" width="18.42578125" bestFit="1" customWidth="1"/>
    <col min="9" max="9" width="11" style="31" bestFit="1" customWidth="1"/>
    <col min="10" max="10" width="17.28515625" bestFit="1" customWidth="1"/>
    <col min="12" max="12" width="18.5703125" bestFit="1" customWidth="1"/>
    <col min="40" max="41" width="10" bestFit="1" customWidth="1"/>
  </cols>
  <sheetData>
    <row r="1" spans="1:45" ht="30" x14ac:dyDescent="0.25">
      <c r="A1" s="57" t="s">
        <v>4</v>
      </c>
      <c r="B1" s="55" t="s">
        <v>269</v>
      </c>
      <c r="C1" s="55"/>
      <c r="D1" s="55" t="s">
        <v>273</v>
      </c>
      <c r="E1" s="55"/>
      <c r="F1" s="55" t="s">
        <v>270</v>
      </c>
      <c r="G1" s="57"/>
      <c r="H1" s="57" t="s">
        <v>274</v>
      </c>
      <c r="I1" s="66"/>
      <c r="J1" s="56" t="s">
        <v>271</v>
      </c>
      <c r="K1" s="56"/>
      <c r="L1" s="58" t="s">
        <v>4</v>
      </c>
      <c r="M1" s="59" t="s">
        <v>269</v>
      </c>
      <c r="N1" s="59" t="s">
        <v>270</v>
      </c>
      <c r="O1" s="60" t="s">
        <v>271</v>
      </c>
      <c r="P1" s="60" t="s">
        <v>274</v>
      </c>
      <c r="Q1" s="58" t="s">
        <v>272</v>
      </c>
    </row>
    <row r="2" spans="1:45" x14ac:dyDescent="0.25">
      <c r="A2" t="s">
        <v>190</v>
      </c>
      <c r="B2">
        <v>44361.802500000005</v>
      </c>
      <c r="C2" s="67"/>
      <c r="D2">
        <v>44.76</v>
      </c>
      <c r="F2">
        <v>82.63</v>
      </c>
      <c r="H2" s="17">
        <f t="shared" ref="H2:H33" si="0">D2*F2</f>
        <v>3698.5187999999998</v>
      </c>
      <c r="I2" s="65"/>
      <c r="J2">
        <v>84.53</v>
      </c>
      <c r="L2" s="61" t="s">
        <v>190</v>
      </c>
      <c r="M2" s="61">
        <v>100</v>
      </c>
      <c r="N2" s="61">
        <v>100</v>
      </c>
      <c r="O2" s="61">
        <v>100</v>
      </c>
      <c r="P2" s="61">
        <v>100</v>
      </c>
      <c r="Q2" s="34">
        <f t="shared" ref="Q2:Q33" si="1">M2/N2-1</f>
        <v>0</v>
      </c>
    </row>
    <row r="3" spans="1:45" x14ac:dyDescent="0.25">
      <c r="A3" t="s">
        <v>188</v>
      </c>
      <c r="B3">
        <v>46016.394999999997</v>
      </c>
      <c r="C3" s="67">
        <f t="shared" ref="C3:C34" si="2">B3/B2-1</f>
        <v>3.7297684195767067E-2</v>
      </c>
      <c r="D3">
        <v>44.52</v>
      </c>
      <c r="E3" s="31">
        <f t="shared" ref="E3:E34" si="3">B3/B2-1</f>
        <v>3.7297684195767067E-2</v>
      </c>
      <c r="F3">
        <v>88.09</v>
      </c>
      <c r="G3" s="31">
        <f t="shared" ref="G3:G34" si="4">F3/F2-1</f>
        <v>6.607769575214828E-2</v>
      </c>
      <c r="H3" s="17">
        <f t="shared" si="0"/>
        <v>3921.7668000000003</v>
      </c>
      <c r="I3" s="65">
        <f t="shared" ref="I3:I34" si="5">H3/H2-1</f>
        <v>6.036146145857102E-2</v>
      </c>
      <c r="J3">
        <v>86.19</v>
      </c>
      <c r="K3" s="31">
        <f t="shared" ref="K3:K34" si="6">J3/J2-1</f>
        <v>1.9637998343783325E-2</v>
      </c>
      <c r="L3" s="61" t="s">
        <v>188</v>
      </c>
      <c r="M3" s="61">
        <f t="shared" ref="M3:M34" si="7">(1+(B3/B2)-1)*M2</f>
        <v>103.72976841957673</v>
      </c>
      <c r="N3" s="61">
        <f t="shared" ref="N3:N34" si="8">(1+(F3/F2)-1)*N2</f>
        <v>106.60776957521483</v>
      </c>
      <c r="O3" s="61">
        <f t="shared" ref="O3:O34" si="9">(1+(J3/J2)-1)*O2</f>
        <v>101.96379983437831</v>
      </c>
      <c r="P3" s="61">
        <f t="shared" ref="P3:P34" si="10">(1+(H3/H2)-1)*P2</f>
        <v>106.03614614585712</v>
      </c>
      <c r="Q3" s="34">
        <f t="shared" si="1"/>
        <v>-2.6996167043975117E-2</v>
      </c>
      <c r="AN3" t="s">
        <v>308</v>
      </c>
      <c r="AO3" t="s">
        <v>309</v>
      </c>
    </row>
    <row r="4" spans="1:45" x14ac:dyDescent="0.25">
      <c r="A4" t="s">
        <v>186</v>
      </c>
      <c r="B4">
        <v>42951.229999999996</v>
      </c>
      <c r="C4" s="67">
        <f t="shared" si="2"/>
        <v>-6.6610280966164392E-2</v>
      </c>
      <c r="D4">
        <v>46.512500000000003</v>
      </c>
      <c r="E4" s="31">
        <f t="shared" si="3"/>
        <v>-6.6610280966164392E-2</v>
      </c>
      <c r="F4">
        <v>73.08</v>
      </c>
      <c r="G4" s="31">
        <f t="shared" si="4"/>
        <v>-0.17039391531388359</v>
      </c>
      <c r="H4" s="17">
        <f t="shared" si="0"/>
        <v>3399.1334999999999</v>
      </c>
      <c r="I4" s="65">
        <f t="shared" si="5"/>
        <v>-0.13326475709876484</v>
      </c>
      <c r="J4">
        <v>72.7</v>
      </c>
      <c r="K4" s="31">
        <f t="shared" si="6"/>
        <v>-0.15651467687666776</v>
      </c>
      <c r="L4" s="61" t="s">
        <v>186</v>
      </c>
      <c r="M4" s="61">
        <f t="shared" si="7"/>
        <v>96.820299400593555</v>
      </c>
      <c r="N4" s="61">
        <f t="shared" si="8"/>
        <v>88.442454314413666</v>
      </c>
      <c r="O4" s="61">
        <f t="shared" si="9"/>
        <v>86.004968650183372</v>
      </c>
      <c r="P4" s="61">
        <f t="shared" si="10"/>
        <v>91.905264886040342</v>
      </c>
      <c r="Q4" s="34">
        <f t="shared" si="1"/>
        <v>9.4726510600854352E-2</v>
      </c>
      <c r="AM4" t="s">
        <v>306</v>
      </c>
      <c r="AN4">
        <v>64.685000000000002</v>
      </c>
      <c r="AO4">
        <v>64.805000000000007</v>
      </c>
    </row>
    <row r="5" spans="1:45" x14ac:dyDescent="0.25">
      <c r="A5" t="s">
        <v>184</v>
      </c>
      <c r="B5">
        <v>45016.692500000005</v>
      </c>
      <c r="C5" s="67">
        <f t="shared" si="2"/>
        <v>4.8088552993709621E-2</v>
      </c>
      <c r="D5">
        <v>46.74</v>
      </c>
      <c r="E5" s="31">
        <f t="shared" si="3"/>
        <v>4.8088552993709621E-2</v>
      </c>
      <c r="F5">
        <v>71.73</v>
      </c>
      <c r="G5" s="31">
        <f t="shared" si="4"/>
        <v>-1.8472906403940836E-2</v>
      </c>
      <c r="H5" s="17">
        <f t="shared" si="0"/>
        <v>3352.6602000000003</v>
      </c>
      <c r="I5" s="65">
        <f t="shared" si="5"/>
        <v>-1.3672102022471266E-2</v>
      </c>
      <c r="J5">
        <v>72.95</v>
      </c>
      <c r="K5" s="31">
        <f t="shared" si="6"/>
        <v>3.4387895460796791E-3</v>
      </c>
      <c r="L5" s="61" t="s">
        <v>184</v>
      </c>
      <c r="M5" s="61">
        <f t="shared" si="7"/>
        <v>101.4762474991858</v>
      </c>
      <c r="N5" s="61">
        <f t="shared" si="8"/>
        <v>86.808665133728695</v>
      </c>
      <c r="O5" s="61">
        <f t="shared" si="9"/>
        <v>86.300721637288532</v>
      </c>
      <c r="P5" s="61">
        <f t="shared" si="10"/>
        <v>90.648726728116159</v>
      </c>
      <c r="Q5" s="34">
        <f t="shared" si="1"/>
        <v>0.16896449614634323</v>
      </c>
      <c r="AM5" t="s">
        <v>307</v>
      </c>
      <c r="AN5">
        <v>65.28</v>
      </c>
      <c r="AO5">
        <v>64.575000000000003</v>
      </c>
    </row>
    <row r="6" spans="1:45" x14ac:dyDescent="0.25">
      <c r="A6" t="s">
        <v>182</v>
      </c>
      <c r="B6">
        <v>44697.147499999999</v>
      </c>
      <c r="C6" s="67">
        <f t="shared" si="2"/>
        <v>-7.098366900233799E-3</v>
      </c>
      <c r="D6">
        <v>46.19</v>
      </c>
      <c r="E6" s="31">
        <f t="shared" si="3"/>
        <v>-7.098366900233799E-3</v>
      </c>
      <c r="F6">
        <v>81.93</v>
      </c>
      <c r="G6" s="31">
        <f t="shared" si="4"/>
        <v>0.14219991635299034</v>
      </c>
      <c r="H6" s="17">
        <f t="shared" si="0"/>
        <v>3784.3467000000001</v>
      </c>
      <c r="I6" s="65">
        <f t="shared" si="5"/>
        <v>0.12875939530048397</v>
      </c>
      <c r="J6">
        <v>81.25</v>
      </c>
      <c r="K6" s="31">
        <f t="shared" si="6"/>
        <v>0.11377655928718289</v>
      </c>
      <c r="L6" s="61" t="s">
        <v>182</v>
      </c>
      <c r="M6" s="61">
        <f t="shared" si="7"/>
        <v>100.75593186277764</v>
      </c>
      <c r="N6" s="61">
        <f t="shared" si="8"/>
        <v>99.152850054459691</v>
      </c>
      <c r="O6" s="61">
        <f t="shared" si="9"/>
        <v>96.119720809180151</v>
      </c>
      <c r="P6" s="61">
        <f t="shared" si="10"/>
        <v>102.32060196638722</v>
      </c>
      <c r="Q6" s="34">
        <f t="shared" si="1"/>
        <v>1.6167783451887185E-2</v>
      </c>
      <c r="AN6">
        <v>1000</v>
      </c>
      <c r="AO6">
        <v>1000</v>
      </c>
    </row>
    <row r="7" spans="1:45" x14ac:dyDescent="0.25">
      <c r="A7" t="s">
        <v>180</v>
      </c>
      <c r="B7">
        <v>43596.4</v>
      </c>
      <c r="C7" s="67">
        <f t="shared" si="2"/>
        <v>-2.4626795255782263E-2</v>
      </c>
      <c r="D7">
        <v>46.92</v>
      </c>
      <c r="E7" s="31">
        <f t="shared" si="3"/>
        <v>-2.4626795255782263E-2</v>
      </c>
      <c r="F7">
        <v>75.53</v>
      </c>
      <c r="G7" s="31">
        <f t="shared" si="4"/>
        <v>-7.8115464420847158E-2</v>
      </c>
      <c r="H7" s="17">
        <f t="shared" si="0"/>
        <v>3543.8676</v>
      </c>
      <c r="I7" s="65">
        <f t="shared" si="5"/>
        <v>-6.354573696960697E-2</v>
      </c>
      <c r="J7">
        <v>73.97</v>
      </c>
      <c r="K7" s="31">
        <f t="shared" si="6"/>
        <v>-8.9600000000000013E-2</v>
      </c>
      <c r="L7" s="61" t="s">
        <v>180</v>
      </c>
      <c r="M7" s="61">
        <f t="shared" si="7"/>
        <v>98.274636157987487</v>
      </c>
      <c r="N7" s="61">
        <f t="shared" si="8"/>
        <v>91.407479123804961</v>
      </c>
      <c r="O7" s="61">
        <f t="shared" si="9"/>
        <v>87.507393824677621</v>
      </c>
      <c r="P7" s="61">
        <f t="shared" si="10"/>
        <v>95.818563907259318</v>
      </c>
      <c r="Q7" s="34">
        <f t="shared" si="1"/>
        <v>7.5126861609228435E-2</v>
      </c>
      <c r="AN7">
        <f>AN4-AN5</f>
        <v>-0.59499999999999886</v>
      </c>
      <c r="AO7">
        <f>AO4-AO5</f>
        <v>0.23000000000000398</v>
      </c>
      <c r="AR7">
        <v>900</v>
      </c>
      <c r="AS7">
        <v>48</v>
      </c>
    </row>
    <row r="8" spans="1:45" x14ac:dyDescent="0.25">
      <c r="A8" t="s">
        <v>178</v>
      </c>
      <c r="B8">
        <v>44195.267500000002</v>
      </c>
      <c r="C8" s="67">
        <f t="shared" si="2"/>
        <v>1.3736627336202067E-2</v>
      </c>
      <c r="D8">
        <v>44.77</v>
      </c>
      <c r="E8" s="31">
        <f t="shared" si="3"/>
        <v>1.3736627336202067E-2</v>
      </c>
      <c r="F8">
        <v>82.69</v>
      </c>
      <c r="G8" s="31">
        <f t="shared" si="4"/>
        <v>9.4796769495564703E-2</v>
      </c>
      <c r="H8" s="17">
        <f t="shared" si="0"/>
        <v>3702.0313000000001</v>
      </c>
      <c r="I8" s="65">
        <f t="shared" si="5"/>
        <v>4.4630250859259091E-2</v>
      </c>
      <c r="J8">
        <v>81.569999999999993</v>
      </c>
      <c r="K8" s="31">
        <f t="shared" si="6"/>
        <v>0.10274435581992702</v>
      </c>
      <c r="L8" s="61" t="s">
        <v>178</v>
      </c>
      <c r="M8" s="61">
        <f t="shared" si="7"/>
        <v>99.624598211490635</v>
      </c>
      <c r="N8" s="61">
        <f t="shared" si="8"/>
        <v>100.07261285247495</v>
      </c>
      <c r="O8" s="61">
        <f t="shared" si="9"/>
        <v>96.498284632674768</v>
      </c>
      <c r="P8" s="61">
        <f t="shared" si="10"/>
        <v>100.09497045141427</v>
      </c>
      <c r="Q8" s="34">
        <f t="shared" si="1"/>
        <v>-4.4768956082396061E-3</v>
      </c>
      <c r="AN8">
        <f>AN7*AN6</f>
        <v>-594.99999999999886</v>
      </c>
      <c r="AO8">
        <f>AO7*AO6</f>
        <v>230.00000000000398</v>
      </c>
      <c r="AR8">
        <v>270</v>
      </c>
    </row>
    <row r="9" spans="1:45" x14ac:dyDescent="0.25">
      <c r="A9" t="s">
        <v>176</v>
      </c>
      <c r="B9">
        <v>45777</v>
      </c>
      <c r="C9" s="67">
        <f t="shared" si="2"/>
        <v>3.578963516851652E-2</v>
      </c>
      <c r="D9">
        <v>44.35</v>
      </c>
      <c r="E9" s="31">
        <f t="shared" si="3"/>
        <v>3.578963516851652E-2</v>
      </c>
      <c r="F9">
        <v>84.06</v>
      </c>
      <c r="G9" s="31">
        <f t="shared" si="4"/>
        <v>1.6567904220582852E-2</v>
      </c>
      <c r="H9" s="17">
        <f t="shared" si="0"/>
        <v>3728.0610000000001</v>
      </c>
      <c r="I9" s="65">
        <f t="shared" si="5"/>
        <v>7.0311939285871983E-3</v>
      </c>
      <c r="J9">
        <v>82.94</v>
      </c>
      <c r="K9" s="31">
        <f t="shared" si="6"/>
        <v>1.6795390462179816E-2</v>
      </c>
      <c r="L9" s="61" t="s">
        <v>176</v>
      </c>
      <c r="M9" s="61">
        <f t="shared" si="7"/>
        <v>103.19012623528991</v>
      </c>
      <c r="N9" s="61">
        <f t="shared" si="8"/>
        <v>101.73060631731825</v>
      </c>
      <c r="O9" s="61">
        <f t="shared" si="9"/>
        <v>98.119011002011135</v>
      </c>
      <c r="P9" s="61">
        <f t="shared" si="10"/>
        <v>100.79875759993439</v>
      </c>
      <c r="Q9" s="34">
        <f t="shared" si="1"/>
        <v>1.4346910637877519E-2</v>
      </c>
      <c r="AN9">
        <v>460000000</v>
      </c>
      <c r="AO9">
        <v>346000000</v>
      </c>
      <c r="AR9">
        <f>AR7-AR8</f>
        <v>630</v>
      </c>
      <c r="AS9">
        <f>AR9/AS7</f>
        <v>13.125</v>
      </c>
    </row>
    <row r="10" spans="1:45" x14ac:dyDescent="0.25">
      <c r="A10" t="s">
        <v>174</v>
      </c>
      <c r="B10">
        <v>47892.115000000005</v>
      </c>
      <c r="C10" s="67">
        <f t="shared" si="2"/>
        <v>4.6204753478821248E-2</v>
      </c>
      <c r="D10">
        <v>45.87</v>
      </c>
      <c r="E10" s="31">
        <f t="shared" si="3"/>
        <v>4.6204753478821248E-2</v>
      </c>
      <c r="F10">
        <v>88.56</v>
      </c>
      <c r="G10" s="31">
        <f t="shared" si="4"/>
        <v>5.3533190578158418E-2</v>
      </c>
      <c r="H10" s="17">
        <f t="shared" si="0"/>
        <v>4062.2471999999998</v>
      </c>
      <c r="I10" s="65">
        <f t="shared" si="5"/>
        <v>8.9640754268773826E-2</v>
      </c>
      <c r="J10">
        <v>86.75</v>
      </c>
      <c r="K10" s="31">
        <f t="shared" si="6"/>
        <v>4.5936821798890692E-2</v>
      </c>
      <c r="L10" s="61" t="s">
        <v>174</v>
      </c>
      <c r="M10" s="61">
        <f t="shared" si="7"/>
        <v>107.9580005794399</v>
      </c>
      <c r="N10" s="61">
        <f t="shared" si="8"/>
        <v>107.17657025293485</v>
      </c>
      <c r="O10" s="61">
        <f t="shared" si="9"/>
        <v>102.6262865254939</v>
      </c>
      <c r="P10" s="61">
        <f t="shared" si="10"/>
        <v>109.83443426054781</v>
      </c>
      <c r="Q10" s="34">
        <f t="shared" si="1"/>
        <v>7.2910555419052336E-3</v>
      </c>
      <c r="AN10">
        <f>AN9/AN8</f>
        <v>-773109.24369748041</v>
      </c>
      <c r="AO10">
        <f>AO9/AO8</f>
        <v>1504347.8260869305</v>
      </c>
    </row>
    <row r="11" spans="1:45" x14ac:dyDescent="0.25">
      <c r="A11" t="s">
        <v>145</v>
      </c>
      <c r="B11">
        <v>50576.880000000005</v>
      </c>
      <c r="C11" s="67">
        <f t="shared" si="2"/>
        <v>5.6058601713455225E-2</v>
      </c>
      <c r="D11">
        <v>44.76</v>
      </c>
      <c r="E11" s="31">
        <f t="shared" si="3"/>
        <v>5.6058601713455225E-2</v>
      </c>
      <c r="F11">
        <v>95.82</v>
      </c>
      <c r="G11" s="31">
        <f t="shared" si="4"/>
        <v>8.1978319783197806E-2</v>
      </c>
      <c r="H11" s="17">
        <f t="shared" si="0"/>
        <v>4288.9031999999997</v>
      </c>
      <c r="I11" s="65">
        <f t="shared" si="5"/>
        <v>5.5795718192629851E-2</v>
      </c>
      <c r="J11">
        <v>91.59</v>
      </c>
      <c r="K11" s="31">
        <f t="shared" si="6"/>
        <v>5.5792507204611042E-2</v>
      </c>
      <c r="L11" s="61" t="s">
        <v>145</v>
      </c>
      <c r="M11" s="61">
        <f t="shared" si="7"/>
        <v>114.00997513570368</v>
      </c>
      <c r="N11" s="61">
        <f t="shared" si="8"/>
        <v>115.96272540239629</v>
      </c>
      <c r="O11" s="61">
        <f t="shared" si="9"/>
        <v>108.35206435584999</v>
      </c>
      <c r="P11" s="61">
        <f t="shared" si="10"/>
        <v>115.96272540239625</v>
      </c>
      <c r="Q11" s="34">
        <f t="shared" si="1"/>
        <v>-1.6839465094636741E-2</v>
      </c>
    </row>
    <row r="12" spans="1:45" x14ac:dyDescent="0.25">
      <c r="A12" t="s">
        <v>143</v>
      </c>
      <c r="B12">
        <v>53872.264999999999</v>
      </c>
      <c r="C12" s="67">
        <f t="shared" si="2"/>
        <v>6.515595663473106E-2</v>
      </c>
      <c r="D12">
        <v>45.85</v>
      </c>
      <c r="E12" s="31">
        <f t="shared" si="3"/>
        <v>6.515595663473106E-2</v>
      </c>
      <c r="F12">
        <v>100.4</v>
      </c>
      <c r="G12" s="31">
        <f t="shared" si="4"/>
        <v>4.7797954498017159E-2</v>
      </c>
      <c r="H12" s="17">
        <f t="shared" si="0"/>
        <v>4603.34</v>
      </c>
      <c r="I12" s="65">
        <f t="shared" si="5"/>
        <v>7.3314035159385282E-2</v>
      </c>
      <c r="J12">
        <v>89.54</v>
      </c>
      <c r="K12" s="31">
        <f t="shared" si="6"/>
        <v>-2.2382356152418348E-2</v>
      </c>
      <c r="L12" s="61" t="s">
        <v>143</v>
      </c>
      <c r="M12" s="61">
        <f t="shared" si="7"/>
        <v>121.43840413157238</v>
      </c>
      <c r="N12" s="61">
        <f t="shared" si="8"/>
        <v>121.50550647464608</v>
      </c>
      <c r="O12" s="61">
        <f t="shared" si="9"/>
        <v>105.9268898615876</v>
      </c>
      <c r="P12" s="61">
        <f t="shared" si="10"/>
        <v>124.46442072972569</v>
      </c>
      <c r="Q12" s="34">
        <f t="shared" si="1"/>
        <v>-5.5225763029675967E-4</v>
      </c>
      <c r="AO12">
        <f>1.1106^30</f>
        <v>23.266447348210104</v>
      </c>
    </row>
    <row r="13" spans="1:45" x14ac:dyDescent="0.25">
      <c r="A13" t="s">
        <v>141</v>
      </c>
      <c r="B13">
        <v>58021.292499999996</v>
      </c>
      <c r="C13" s="67">
        <f t="shared" si="2"/>
        <v>7.7016021138149648E-2</v>
      </c>
      <c r="D13">
        <v>45.18</v>
      </c>
      <c r="E13" s="31">
        <f t="shared" si="3"/>
        <v>7.7016021138149648E-2</v>
      </c>
      <c r="F13">
        <v>113.34</v>
      </c>
      <c r="G13" s="31">
        <f t="shared" si="4"/>
        <v>0.12888446215139449</v>
      </c>
      <c r="H13" s="17">
        <f t="shared" si="0"/>
        <v>5120.7012000000004</v>
      </c>
      <c r="I13" s="65">
        <f t="shared" si="5"/>
        <v>0.11238822246455848</v>
      </c>
      <c r="J13">
        <v>99.63</v>
      </c>
      <c r="K13" s="31">
        <f t="shared" si="6"/>
        <v>0.11268706723252175</v>
      </c>
      <c r="L13" s="61" t="s">
        <v>141</v>
      </c>
      <c r="M13" s="61">
        <f t="shared" si="7"/>
        <v>130.79110683115269</v>
      </c>
      <c r="N13" s="61">
        <f t="shared" si="8"/>
        <v>137.16567832506365</v>
      </c>
      <c r="O13" s="61">
        <f t="shared" si="9"/>
        <v>117.86348042115227</v>
      </c>
      <c r="P13" s="61">
        <f t="shared" si="10"/>
        <v>138.45275573562051</v>
      </c>
      <c r="Q13" s="34">
        <f t="shared" si="1"/>
        <v>-4.6473517076218718E-2</v>
      </c>
    </row>
    <row r="14" spans="1:45" x14ac:dyDescent="0.25">
      <c r="A14" t="s">
        <v>139</v>
      </c>
      <c r="B14">
        <v>62458.097499999996</v>
      </c>
      <c r="C14" s="67">
        <f t="shared" si="2"/>
        <v>7.6468565397780575E-2</v>
      </c>
      <c r="D14">
        <v>44.44</v>
      </c>
      <c r="E14" s="31">
        <f t="shared" si="3"/>
        <v>7.6468565397780575E-2</v>
      </c>
      <c r="F14">
        <v>118.63</v>
      </c>
      <c r="G14" s="31">
        <f t="shared" si="4"/>
        <v>4.6673725074995565E-2</v>
      </c>
      <c r="H14" s="17">
        <f t="shared" si="0"/>
        <v>5271.9171999999999</v>
      </c>
      <c r="I14" s="65">
        <f t="shared" si="5"/>
        <v>2.9530330728924303E-2</v>
      </c>
      <c r="J14">
        <v>107.55</v>
      </c>
      <c r="K14" s="31">
        <f t="shared" si="6"/>
        <v>7.9494128274615994E-2</v>
      </c>
      <c r="L14" s="61" t="s">
        <v>139</v>
      </c>
      <c r="M14" s="61">
        <f t="shared" si="7"/>
        <v>140.79251513731876</v>
      </c>
      <c r="N14" s="61">
        <f t="shared" si="8"/>
        <v>143.56771148493297</v>
      </c>
      <c r="O14" s="61">
        <f t="shared" si="9"/>
        <v>127.23293505264407</v>
      </c>
      <c r="P14" s="61">
        <f t="shared" si="10"/>
        <v>142.54131140282439</v>
      </c>
      <c r="Q14" s="34">
        <f t="shared" si="1"/>
        <v>-1.9330226266826456E-2</v>
      </c>
    </row>
    <row r="15" spans="1:45" x14ac:dyDescent="0.25">
      <c r="A15" t="s">
        <v>137</v>
      </c>
      <c r="B15">
        <v>63967.75</v>
      </c>
      <c r="C15" s="67">
        <f t="shared" si="2"/>
        <v>2.4170644967211885E-2</v>
      </c>
      <c r="D15">
        <v>44.29</v>
      </c>
      <c r="E15" s="31">
        <f t="shared" si="3"/>
        <v>2.4170644967211885E-2</v>
      </c>
      <c r="F15">
        <v>121.55</v>
      </c>
      <c r="G15" s="31">
        <f t="shared" si="4"/>
        <v>2.4614347129731096E-2</v>
      </c>
      <c r="H15" s="17">
        <f t="shared" si="0"/>
        <v>5383.4494999999997</v>
      </c>
      <c r="I15" s="65">
        <f t="shared" si="5"/>
        <v>2.1155927866241875E-2</v>
      </c>
      <c r="J15">
        <v>113.03</v>
      </c>
      <c r="K15" s="31">
        <f t="shared" si="6"/>
        <v>5.0953045095304628E-2</v>
      </c>
      <c r="L15" s="61" t="s">
        <v>137</v>
      </c>
      <c r="M15" s="61">
        <f t="shared" si="7"/>
        <v>144.19556103474369</v>
      </c>
      <c r="N15" s="61">
        <f t="shared" si="8"/>
        <v>147.10153697204416</v>
      </c>
      <c r="O15" s="61">
        <f t="shared" si="9"/>
        <v>133.71584052998941</v>
      </c>
      <c r="P15" s="61">
        <f t="shared" si="10"/>
        <v>145.55690510482205</v>
      </c>
      <c r="Q15" s="34">
        <f t="shared" si="1"/>
        <v>-1.9754898535511156E-2</v>
      </c>
    </row>
    <row r="16" spans="1:45" x14ac:dyDescent="0.25">
      <c r="A16" t="s">
        <v>135</v>
      </c>
      <c r="B16">
        <v>59747.972500000003</v>
      </c>
      <c r="C16" s="67">
        <f t="shared" si="2"/>
        <v>-6.5967264754505095E-2</v>
      </c>
      <c r="D16">
        <v>44.984999999999999</v>
      </c>
      <c r="E16" s="31">
        <f t="shared" si="3"/>
        <v>-6.5967264754505095E-2</v>
      </c>
      <c r="F16">
        <v>115.09</v>
      </c>
      <c r="G16" s="31">
        <f t="shared" si="4"/>
        <v>-5.3146853146853079E-2</v>
      </c>
      <c r="H16" s="17">
        <f t="shared" si="0"/>
        <v>5177.3236500000003</v>
      </c>
      <c r="I16" s="65">
        <f t="shared" si="5"/>
        <v>-3.8288805346831878E-2</v>
      </c>
      <c r="J16">
        <v>100.3</v>
      </c>
      <c r="K16" s="31">
        <f t="shared" si="6"/>
        <v>-0.11262496682296741</v>
      </c>
      <c r="L16" s="61" t="s">
        <v>135</v>
      </c>
      <c r="M16" s="61">
        <f t="shared" si="7"/>
        <v>134.68337428354036</v>
      </c>
      <c r="N16" s="61">
        <f t="shared" si="8"/>
        <v>139.28355318891454</v>
      </c>
      <c r="O16" s="61">
        <f t="shared" si="9"/>
        <v>118.65609842659417</v>
      </c>
      <c r="P16" s="61">
        <f t="shared" si="10"/>
        <v>139.98370509837622</v>
      </c>
      <c r="Q16" s="34">
        <f t="shared" si="1"/>
        <v>-3.3027437913899393E-2</v>
      </c>
    </row>
    <row r="17" spans="1:17" x14ac:dyDescent="0.25">
      <c r="A17" t="s">
        <v>133</v>
      </c>
      <c r="B17">
        <v>59498.082499999997</v>
      </c>
      <c r="C17" s="67">
        <f t="shared" si="2"/>
        <v>-4.1824013358781054E-3</v>
      </c>
      <c r="D17">
        <v>44.65</v>
      </c>
      <c r="E17" s="31">
        <f t="shared" si="3"/>
        <v>-4.1824013358781054E-3</v>
      </c>
      <c r="F17">
        <v>113.55</v>
      </c>
      <c r="G17" s="31">
        <f t="shared" si="4"/>
        <v>-1.338083239204102E-2</v>
      </c>
      <c r="H17" s="17">
        <f t="shared" si="0"/>
        <v>5070.0074999999997</v>
      </c>
      <c r="I17" s="65">
        <f t="shared" si="5"/>
        <v>-2.0728113066680764E-2</v>
      </c>
      <c r="J17">
        <v>94.81</v>
      </c>
      <c r="K17" s="31">
        <f t="shared" si="6"/>
        <v>-5.4735792622133572E-2</v>
      </c>
      <c r="L17" s="61" t="s">
        <v>133</v>
      </c>
      <c r="M17" s="61">
        <f t="shared" si="7"/>
        <v>134.12007435901631</v>
      </c>
      <c r="N17" s="61">
        <f t="shared" si="8"/>
        <v>137.41982330872574</v>
      </c>
      <c r="O17" s="61">
        <f t="shared" si="9"/>
        <v>112.16136282976463</v>
      </c>
      <c r="P17" s="61">
        <f t="shared" si="10"/>
        <v>137.08210703160418</v>
      </c>
      <c r="Q17" s="34">
        <f t="shared" si="1"/>
        <v>-2.4012175756449983E-2</v>
      </c>
    </row>
    <row r="18" spans="1:17" x14ac:dyDescent="0.25">
      <c r="A18" t="s">
        <v>152</v>
      </c>
      <c r="B18">
        <v>61142.5</v>
      </c>
      <c r="C18" s="67">
        <f t="shared" si="2"/>
        <v>2.7638159599513212E-2</v>
      </c>
      <c r="D18">
        <v>44.04</v>
      </c>
      <c r="E18" s="31">
        <f t="shared" si="3"/>
        <v>2.7638159599513212E-2</v>
      </c>
      <c r="F18">
        <v>113.74</v>
      </c>
      <c r="G18" s="31">
        <f t="shared" si="4"/>
        <v>1.673271686481792E-3</v>
      </c>
      <c r="H18" s="17">
        <f t="shared" si="0"/>
        <v>5009.1095999999998</v>
      </c>
      <c r="I18" s="65">
        <f t="shared" si="5"/>
        <v>-1.2011402349996536E-2</v>
      </c>
      <c r="J18">
        <v>94.98</v>
      </c>
      <c r="K18" s="31">
        <f t="shared" si="6"/>
        <v>1.7930598038182755E-3</v>
      </c>
      <c r="L18" s="61" t="s">
        <v>152</v>
      </c>
      <c r="M18" s="61">
        <f t="shared" si="7"/>
        <v>137.82690637964939</v>
      </c>
      <c r="N18" s="61">
        <f t="shared" si="8"/>
        <v>137.64976400822954</v>
      </c>
      <c r="O18" s="61">
        <f t="shared" si="9"/>
        <v>112.36247486099613</v>
      </c>
      <c r="P18" s="61">
        <f t="shared" si="10"/>
        <v>135.43555868906228</v>
      </c>
      <c r="Q18" s="34">
        <f t="shared" si="1"/>
        <v>1.2869064665397278E-3</v>
      </c>
    </row>
    <row r="19" spans="1:17" x14ac:dyDescent="0.25">
      <c r="A19" t="s">
        <v>150</v>
      </c>
      <c r="B19">
        <v>59492</v>
      </c>
      <c r="C19" s="67">
        <f t="shared" si="2"/>
        <v>-2.6994316555587372E-2</v>
      </c>
      <c r="D19">
        <v>45.98</v>
      </c>
      <c r="E19" s="31">
        <f t="shared" si="3"/>
        <v>-2.6994316555587372E-2</v>
      </c>
      <c r="F19">
        <v>117.5</v>
      </c>
      <c r="G19" s="31">
        <f t="shared" si="4"/>
        <v>3.3057851239669533E-2</v>
      </c>
      <c r="H19" s="17">
        <f t="shared" si="0"/>
        <v>5402.65</v>
      </c>
      <c r="I19" s="65">
        <f t="shared" si="5"/>
        <v>7.8564940962761121E-2</v>
      </c>
      <c r="J19">
        <v>88.93</v>
      </c>
      <c r="K19" s="31">
        <f t="shared" si="6"/>
        <v>-6.3697620551695033E-2</v>
      </c>
      <c r="L19" s="61" t="s">
        <v>150</v>
      </c>
      <c r="M19" s="61">
        <f t="shared" si="7"/>
        <v>134.10636323895983</v>
      </c>
      <c r="N19" s="61">
        <f t="shared" si="8"/>
        <v>142.20016942998919</v>
      </c>
      <c r="O19" s="61">
        <f t="shared" si="9"/>
        <v>105.20525257305103</v>
      </c>
      <c r="P19" s="61">
        <f t="shared" si="10"/>
        <v>146.07604536172701</v>
      </c>
      <c r="Q19" s="34">
        <f t="shared" si="1"/>
        <v>-5.6918400473596198E-2</v>
      </c>
    </row>
    <row r="20" spans="1:17" x14ac:dyDescent="0.25">
      <c r="A20" t="s">
        <v>148</v>
      </c>
      <c r="B20">
        <v>61886.75</v>
      </c>
      <c r="C20" s="67">
        <f t="shared" si="2"/>
        <v>4.0253311369595979E-2</v>
      </c>
      <c r="D20">
        <v>49.48</v>
      </c>
      <c r="E20" s="31">
        <f t="shared" si="3"/>
        <v>4.0253311369595979E-2</v>
      </c>
      <c r="F20">
        <v>104.38</v>
      </c>
      <c r="G20" s="31">
        <f t="shared" si="4"/>
        <v>-0.11165957446808517</v>
      </c>
      <c r="H20" s="17">
        <f t="shared" si="0"/>
        <v>5164.7223999999997</v>
      </c>
      <c r="I20" s="65">
        <f t="shared" si="5"/>
        <v>-4.403905490823945E-2</v>
      </c>
      <c r="J20">
        <v>77.34</v>
      </c>
      <c r="K20" s="31">
        <f t="shared" si="6"/>
        <v>-0.13032722365905769</v>
      </c>
      <c r="L20" s="61" t="s">
        <v>148</v>
      </c>
      <c r="M20" s="61">
        <f t="shared" si="7"/>
        <v>139.50458843506178</v>
      </c>
      <c r="N20" s="61">
        <f t="shared" si="8"/>
        <v>126.32215902214701</v>
      </c>
      <c r="O20" s="61">
        <f t="shared" si="9"/>
        <v>91.494144090855343</v>
      </c>
      <c r="P20" s="61">
        <f t="shared" si="10"/>
        <v>139.64299437926343</v>
      </c>
      <c r="Q20" s="34">
        <f t="shared" si="1"/>
        <v>0.10435563732411834</v>
      </c>
    </row>
    <row r="21" spans="1:17" x14ac:dyDescent="0.25">
      <c r="A21" t="s">
        <v>156</v>
      </c>
      <c r="B21">
        <v>64490.415000000008</v>
      </c>
      <c r="C21" s="67">
        <f t="shared" si="2"/>
        <v>4.207144501852178E-2</v>
      </c>
      <c r="D21">
        <v>48.83</v>
      </c>
      <c r="E21" s="31">
        <f t="shared" si="3"/>
        <v>4.207144501852178E-2</v>
      </c>
      <c r="F21">
        <v>112.22</v>
      </c>
      <c r="G21" s="31">
        <f t="shared" si="4"/>
        <v>7.5110174362904791E-2</v>
      </c>
      <c r="H21" s="17">
        <f t="shared" si="0"/>
        <v>5479.7025999999996</v>
      </c>
      <c r="I21" s="65">
        <f t="shared" si="5"/>
        <v>6.0986859622890854E-2</v>
      </c>
      <c r="J21">
        <v>92.19</v>
      </c>
      <c r="K21" s="31">
        <f t="shared" si="6"/>
        <v>0.19200930954228079</v>
      </c>
      <c r="L21" s="61" t="s">
        <v>156</v>
      </c>
      <c r="M21" s="61">
        <f t="shared" si="7"/>
        <v>145.37374805723897</v>
      </c>
      <c r="N21" s="61">
        <f t="shared" si="8"/>
        <v>135.81023841219908</v>
      </c>
      <c r="O21" s="61">
        <f t="shared" si="9"/>
        <v>109.06187152490243</v>
      </c>
      <c r="P21" s="61">
        <f t="shared" si="10"/>
        <v>148.15938207479169</v>
      </c>
      <c r="Q21" s="34">
        <f t="shared" si="1"/>
        <v>7.0418178753310023E-2</v>
      </c>
    </row>
    <row r="22" spans="1:17" x14ac:dyDescent="0.25">
      <c r="A22" t="s">
        <v>154</v>
      </c>
      <c r="B22">
        <v>68172.649999999994</v>
      </c>
      <c r="C22" s="67">
        <f t="shared" si="2"/>
        <v>5.7097399667841886E-2</v>
      </c>
      <c r="D22">
        <v>51.85</v>
      </c>
      <c r="E22" s="31">
        <f t="shared" si="3"/>
        <v>5.7097399667841886E-2</v>
      </c>
      <c r="F22">
        <v>110.16</v>
      </c>
      <c r="G22" s="31">
        <f t="shared" si="4"/>
        <v>-1.8356799144537583E-2</v>
      </c>
      <c r="H22" s="17">
        <f t="shared" si="0"/>
        <v>5711.7960000000003</v>
      </c>
      <c r="I22" s="65">
        <f t="shared" si="5"/>
        <v>4.2355108833826316E-2</v>
      </c>
      <c r="J22">
        <v>100.2</v>
      </c>
      <c r="K22" s="31">
        <f t="shared" si="6"/>
        <v>8.6885779368695237E-2</v>
      </c>
      <c r="L22" s="61" t="s">
        <v>154</v>
      </c>
      <c r="M22" s="61">
        <f t="shared" si="7"/>
        <v>153.67421105127525</v>
      </c>
      <c r="N22" s="61">
        <f t="shared" si="8"/>
        <v>133.31719714389459</v>
      </c>
      <c r="O22" s="61">
        <f t="shared" si="9"/>
        <v>118.53779723175211</v>
      </c>
      <c r="P22" s="61">
        <f t="shared" si="10"/>
        <v>154.43468882732191</v>
      </c>
      <c r="Q22" s="34">
        <f t="shared" si="1"/>
        <v>0.15269608380236588</v>
      </c>
    </row>
    <row r="23" spans="1:17" x14ac:dyDescent="0.25">
      <c r="A23" t="s">
        <v>171</v>
      </c>
      <c r="B23">
        <v>66600.057499999995</v>
      </c>
      <c r="C23" s="67">
        <f t="shared" si="2"/>
        <v>-2.3067791849077257E-2</v>
      </c>
      <c r="D23">
        <v>53.3</v>
      </c>
      <c r="E23" s="31">
        <f t="shared" si="3"/>
        <v>-2.3067791849077257E-2</v>
      </c>
      <c r="F23">
        <v>111.07</v>
      </c>
      <c r="G23" s="31">
        <f t="shared" si="4"/>
        <v>8.2607116920843104E-3</v>
      </c>
      <c r="H23" s="17">
        <f t="shared" si="0"/>
        <v>5920.030999999999</v>
      </c>
      <c r="I23" s="65">
        <f t="shared" si="5"/>
        <v>3.645700931896001E-2</v>
      </c>
      <c r="J23">
        <v>102.96</v>
      </c>
      <c r="K23" s="31">
        <f t="shared" si="6"/>
        <v>2.7544910179640558E-2</v>
      </c>
      <c r="L23" s="61" t="s">
        <v>171</v>
      </c>
      <c r="M23" s="61">
        <f t="shared" si="7"/>
        <v>150.12928633817327</v>
      </c>
      <c r="N23" s="61">
        <f t="shared" si="8"/>
        <v>134.41849207309707</v>
      </c>
      <c r="O23" s="61">
        <f t="shared" si="9"/>
        <v>121.80291020939319</v>
      </c>
      <c r="P23" s="61">
        <f t="shared" si="10"/>
        <v>160.06491571707031</v>
      </c>
      <c r="Q23" s="34">
        <f t="shared" si="1"/>
        <v>0.11687970920349744</v>
      </c>
    </row>
    <row r="24" spans="1:17" x14ac:dyDescent="0.25">
      <c r="A24" t="s">
        <v>169</v>
      </c>
      <c r="B24">
        <v>66407.39</v>
      </c>
      <c r="C24" s="67">
        <f t="shared" si="2"/>
        <v>-2.8929029077789936E-3</v>
      </c>
      <c r="D24">
        <v>49.59</v>
      </c>
      <c r="E24" s="31">
        <f t="shared" si="3"/>
        <v>-2.8929029077789936E-3</v>
      </c>
      <c r="F24">
        <v>116.86</v>
      </c>
      <c r="G24" s="31">
        <f t="shared" si="4"/>
        <v>5.2129287836499616E-2</v>
      </c>
      <c r="H24" s="17">
        <f t="shared" si="0"/>
        <v>5795.0874000000003</v>
      </c>
      <c r="I24" s="65">
        <f t="shared" si="5"/>
        <v>-2.110522732059994E-2</v>
      </c>
      <c r="J24">
        <v>97.63</v>
      </c>
      <c r="K24" s="31">
        <f t="shared" si="6"/>
        <v>-5.1767676767676796E-2</v>
      </c>
      <c r="L24" s="61" t="s">
        <v>169</v>
      </c>
      <c r="M24" s="61">
        <f t="shared" si="7"/>
        <v>149.69497688918281</v>
      </c>
      <c r="N24" s="61">
        <f t="shared" si="8"/>
        <v>141.42563233692377</v>
      </c>
      <c r="O24" s="61">
        <f t="shared" si="9"/>
        <v>115.49745652431095</v>
      </c>
      <c r="P24" s="61">
        <f t="shared" si="10"/>
        <v>156.68670928480884</v>
      </c>
      <c r="Q24" s="34">
        <f t="shared" si="1"/>
        <v>5.8471328115109023E-2</v>
      </c>
    </row>
    <row r="25" spans="1:17" x14ac:dyDescent="0.25">
      <c r="A25" t="s">
        <v>167</v>
      </c>
      <c r="B25">
        <v>68179.902499999997</v>
      </c>
      <c r="C25" s="67">
        <f t="shared" si="2"/>
        <v>2.6691494726716281E-2</v>
      </c>
      <c r="D25">
        <v>49.075000000000003</v>
      </c>
      <c r="E25" s="31">
        <f t="shared" si="3"/>
        <v>2.6691494726716281E-2</v>
      </c>
      <c r="F25">
        <v>125.37</v>
      </c>
      <c r="G25" s="31">
        <f t="shared" si="4"/>
        <v>7.2822180386787672E-2</v>
      </c>
      <c r="H25" s="17">
        <f t="shared" si="0"/>
        <v>6152.5327500000003</v>
      </c>
      <c r="I25" s="65">
        <f t="shared" si="5"/>
        <v>6.1680752217818213E-2</v>
      </c>
      <c r="J25">
        <v>108.76</v>
      </c>
      <c r="K25" s="31">
        <f t="shared" si="6"/>
        <v>0.11400184369558541</v>
      </c>
      <c r="L25" s="61" t="s">
        <v>167</v>
      </c>
      <c r="M25" s="61">
        <f t="shared" si="7"/>
        <v>153.69055957543631</v>
      </c>
      <c r="N25" s="61">
        <f t="shared" si="8"/>
        <v>151.72455524627875</v>
      </c>
      <c r="O25" s="61">
        <f t="shared" si="9"/>
        <v>128.66437951023312</v>
      </c>
      <c r="P25" s="61">
        <f t="shared" si="10"/>
        <v>166.35126337603046</v>
      </c>
      <c r="Q25" s="34">
        <f t="shared" si="1"/>
        <v>1.2957720165772457E-2</v>
      </c>
    </row>
    <row r="26" spans="1:17" x14ac:dyDescent="0.25">
      <c r="A26" t="s">
        <v>164</v>
      </c>
      <c r="B26">
        <v>71514.102500000008</v>
      </c>
      <c r="C26" s="67">
        <f t="shared" si="2"/>
        <v>4.8902974010559985E-2</v>
      </c>
      <c r="D26">
        <v>50.61</v>
      </c>
      <c r="E26" s="31">
        <f t="shared" si="3"/>
        <v>4.8902974010559985E-2</v>
      </c>
      <c r="F26">
        <v>121.89</v>
      </c>
      <c r="G26" s="31">
        <f t="shared" si="4"/>
        <v>-2.7757836803062985E-2</v>
      </c>
      <c r="H26" s="17">
        <f t="shared" si="0"/>
        <v>6168.8528999999999</v>
      </c>
      <c r="I26" s="65">
        <f t="shared" si="5"/>
        <v>2.6525905124192839E-3</v>
      </c>
      <c r="J26">
        <v>105.25</v>
      </c>
      <c r="K26" s="31">
        <f t="shared" si="6"/>
        <v>-3.2272894446487732E-2</v>
      </c>
      <c r="L26" s="61" t="s">
        <v>164</v>
      </c>
      <c r="M26" s="61">
        <f t="shared" si="7"/>
        <v>161.20648501602233</v>
      </c>
      <c r="N26" s="61">
        <f t="shared" si="8"/>
        <v>147.51300980273521</v>
      </c>
      <c r="O26" s="61">
        <f t="shared" si="9"/>
        <v>124.51200757127651</v>
      </c>
      <c r="P26" s="61">
        <f t="shared" si="10"/>
        <v>166.79252515899068</v>
      </c>
      <c r="Q26" s="34">
        <f t="shared" si="1"/>
        <v>9.2828932387719609E-2</v>
      </c>
    </row>
    <row r="27" spans="1:17" x14ac:dyDescent="0.25">
      <c r="A27" s="62" t="s">
        <v>162</v>
      </c>
      <c r="B27" s="62">
        <v>71028.237500000003</v>
      </c>
      <c r="C27" s="67">
        <f t="shared" si="2"/>
        <v>-6.7939746569567472E-3</v>
      </c>
      <c r="D27">
        <v>52.65</v>
      </c>
      <c r="E27" s="31">
        <f t="shared" si="3"/>
        <v>-6.7939746569567472E-3</v>
      </c>
      <c r="F27" s="62">
        <v>111.89</v>
      </c>
      <c r="G27" s="31">
        <f t="shared" si="4"/>
        <v>-8.2041184674706669E-2</v>
      </c>
      <c r="H27" s="17">
        <f t="shared" si="0"/>
        <v>5891.0084999999999</v>
      </c>
      <c r="I27" s="65">
        <f t="shared" si="5"/>
        <v>-4.5039880915299535E-2</v>
      </c>
      <c r="J27" s="62">
        <v>106.17</v>
      </c>
      <c r="K27" s="31">
        <f t="shared" si="6"/>
        <v>8.7410926365796282E-3</v>
      </c>
      <c r="L27" s="63" t="s">
        <v>162</v>
      </c>
      <c r="M27" s="63">
        <f t="shared" si="7"/>
        <v>160.11125224228638</v>
      </c>
      <c r="N27" s="63">
        <f t="shared" si="8"/>
        <v>135.41086772358719</v>
      </c>
      <c r="O27" s="63">
        <f t="shared" si="9"/>
        <v>125.60037856382357</v>
      </c>
      <c r="P27" s="61">
        <f t="shared" si="10"/>
        <v>159.28020968826766</v>
      </c>
      <c r="Q27" s="64">
        <f t="shared" si="1"/>
        <v>0.18241065088748876</v>
      </c>
    </row>
    <row r="28" spans="1:17" x14ac:dyDescent="0.25">
      <c r="A28" t="s">
        <v>160</v>
      </c>
      <c r="B28">
        <v>69315.494999999995</v>
      </c>
      <c r="C28" s="67">
        <f t="shared" si="2"/>
        <v>-2.4113543574835417E-2</v>
      </c>
      <c r="D28">
        <v>56.24</v>
      </c>
      <c r="E28" s="31">
        <f t="shared" si="3"/>
        <v>-2.4113543574835417E-2</v>
      </c>
      <c r="F28">
        <v>98.6</v>
      </c>
      <c r="G28" s="31">
        <f t="shared" si="4"/>
        <v>-0.11877737063187066</v>
      </c>
      <c r="H28" s="17">
        <f t="shared" si="0"/>
        <v>5545.2640000000001</v>
      </c>
      <c r="I28" s="65">
        <f t="shared" si="5"/>
        <v>-5.8690205590434918E-2</v>
      </c>
      <c r="J28">
        <v>83.17</v>
      </c>
      <c r="K28" s="31">
        <f t="shared" si="6"/>
        <v>-0.21663370066873877</v>
      </c>
      <c r="L28" s="61" t="s">
        <v>160</v>
      </c>
      <c r="M28" s="61">
        <f t="shared" si="7"/>
        <v>156.25040258452054</v>
      </c>
      <c r="N28" s="61">
        <f t="shared" si="8"/>
        <v>119.32712090039946</v>
      </c>
      <c r="O28" s="61">
        <f t="shared" si="9"/>
        <v>98.39110375014792</v>
      </c>
      <c r="P28" s="61">
        <f t="shared" si="10"/>
        <v>149.93202143517567</v>
      </c>
      <c r="Q28" s="34">
        <f t="shared" si="1"/>
        <v>0.30942908372808553</v>
      </c>
    </row>
    <row r="29" spans="1:17" x14ac:dyDescent="0.25">
      <c r="A29" t="s">
        <v>158</v>
      </c>
      <c r="B29">
        <v>64652</v>
      </c>
      <c r="C29" s="67">
        <f t="shared" si="2"/>
        <v>-6.72792569684455E-2</v>
      </c>
      <c r="D29">
        <v>55.5</v>
      </c>
      <c r="E29" s="31">
        <f t="shared" si="3"/>
        <v>-6.72792569684455E-2</v>
      </c>
      <c r="F29">
        <v>99.23</v>
      </c>
      <c r="G29" s="31">
        <f t="shared" si="4"/>
        <v>6.3894523326573083E-3</v>
      </c>
      <c r="H29" s="17">
        <f t="shared" si="0"/>
        <v>5507.2650000000003</v>
      </c>
      <c r="I29" s="65">
        <f t="shared" si="5"/>
        <v>-6.8525141454039984E-3</v>
      </c>
      <c r="J29">
        <v>83.72</v>
      </c>
      <c r="K29" s="31">
        <f t="shared" si="6"/>
        <v>6.6129614043524132E-3</v>
      </c>
      <c r="L29" s="61" t="s">
        <v>158</v>
      </c>
      <c r="M29" s="61">
        <f t="shared" si="7"/>
        <v>145.73799159761353</v>
      </c>
      <c r="N29" s="61">
        <f t="shared" si="8"/>
        <v>120.08955585138578</v>
      </c>
      <c r="O29" s="61">
        <f t="shared" si="9"/>
        <v>99.041760321779265</v>
      </c>
      <c r="P29" s="61">
        <f t="shared" si="10"/>
        <v>148.90461013744212</v>
      </c>
      <c r="Q29" s="34">
        <f t="shared" si="1"/>
        <v>0.21357757187451343</v>
      </c>
    </row>
    <row r="30" spans="1:17" x14ac:dyDescent="0.25">
      <c r="A30" t="s">
        <v>264</v>
      </c>
      <c r="B30">
        <v>68561.290000000008</v>
      </c>
      <c r="C30" s="67">
        <f t="shared" si="2"/>
        <v>6.0466652230402929E-2</v>
      </c>
      <c r="D30">
        <v>55.65</v>
      </c>
      <c r="E30" s="31">
        <f t="shared" si="3"/>
        <v>6.0466652230402929E-2</v>
      </c>
      <c r="F30">
        <v>113.52</v>
      </c>
      <c r="G30" s="31">
        <f t="shared" si="4"/>
        <v>0.14400886828580051</v>
      </c>
      <c r="H30" s="17">
        <f t="shared" si="0"/>
        <v>6317.3879999999999</v>
      </c>
      <c r="I30" s="65">
        <f t="shared" si="5"/>
        <v>0.14710078414603256</v>
      </c>
      <c r="J30">
        <v>88.99</v>
      </c>
      <c r="K30" s="31">
        <f t="shared" si="6"/>
        <v>6.2947921643573768E-2</v>
      </c>
      <c r="L30" s="61" t="s">
        <v>264</v>
      </c>
      <c r="M30" s="61">
        <f t="shared" si="7"/>
        <v>154.5502800523038</v>
      </c>
      <c r="N30" s="61">
        <f t="shared" si="8"/>
        <v>137.38351688248829</v>
      </c>
      <c r="O30" s="61">
        <f t="shared" si="9"/>
        <v>105.27623328995624</v>
      </c>
      <c r="P30" s="61">
        <f t="shared" si="10"/>
        <v>170.80859505161914</v>
      </c>
      <c r="Q30" s="34">
        <f t="shared" si="1"/>
        <v>0.12495504234688637</v>
      </c>
    </row>
    <row r="31" spans="1:17" x14ac:dyDescent="0.25">
      <c r="A31" t="s">
        <v>262</v>
      </c>
      <c r="B31">
        <v>75263.342499999999</v>
      </c>
      <c r="C31" s="67">
        <f t="shared" si="2"/>
        <v>9.7752718771773273E-2</v>
      </c>
      <c r="D31">
        <v>55.524999999999999</v>
      </c>
      <c r="E31" s="31">
        <f t="shared" si="3"/>
        <v>9.7752718771773273E-2</v>
      </c>
      <c r="F31">
        <v>114.86</v>
      </c>
      <c r="G31" s="31">
        <f t="shared" si="4"/>
        <v>1.1804087385482775E-2</v>
      </c>
      <c r="H31" s="17">
        <f t="shared" si="0"/>
        <v>6377.6014999999998</v>
      </c>
      <c r="I31" s="65">
        <f t="shared" si="5"/>
        <v>9.53139177140927E-3</v>
      </c>
      <c r="J31">
        <v>95.34</v>
      </c>
      <c r="K31" s="31">
        <f t="shared" si="6"/>
        <v>7.1356332172154202E-2</v>
      </c>
      <c r="L31" s="61" t="s">
        <v>262</v>
      </c>
      <c r="M31" s="61">
        <f t="shared" si="7"/>
        <v>169.6579901143555</v>
      </c>
      <c r="N31" s="61">
        <f t="shared" si="8"/>
        <v>139.00520392109411</v>
      </c>
      <c r="O31" s="61">
        <f t="shared" si="9"/>
        <v>112.78835916242758</v>
      </c>
      <c r="P31" s="61">
        <f t="shared" si="10"/>
        <v>172.43663868898008</v>
      </c>
      <c r="Q31" s="34">
        <f t="shared" si="1"/>
        <v>0.22051538596109932</v>
      </c>
    </row>
    <row r="32" spans="1:17" x14ac:dyDescent="0.25">
      <c r="A32" t="s">
        <v>260</v>
      </c>
      <c r="B32">
        <v>73406.565000000002</v>
      </c>
      <c r="C32" s="67">
        <f t="shared" si="2"/>
        <v>-2.4670409768208112E-2</v>
      </c>
      <c r="D32">
        <v>52.994999999999997</v>
      </c>
      <c r="E32" s="31">
        <f t="shared" si="3"/>
        <v>-2.4670409768208112E-2</v>
      </c>
      <c r="F32">
        <v>114.32</v>
      </c>
      <c r="G32" s="31">
        <f t="shared" si="4"/>
        <v>-4.7013755876720298E-3</v>
      </c>
      <c r="H32" s="17">
        <f t="shared" si="0"/>
        <v>6058.3883999999989</v>
      </c>
      <c r="I32" s="65">
        <f t="shared" si="5"/>
        <v>-5.0052217906685015E-2</v>
      </c>
      <c r="J32">
        <v>92.44</v>
      </c>
      <c r="K32" s="31">
        <f t="shared" si="6"/>
        <v>-3.041745332494239E-2</v>
      </c>
      <c r="L32" s="61" t="s">
        <v>260</v>
      </c>
      <c r="M32" s="61">
        <f t="shared" si="7"/>
        <v>165.47245797778373</v>
      </c>
      <c r="N32" s="61">
        <f t="shared" si="8"/>
        <v>138.35168824882012</v>
      </c>
      <c r="O32" s="61">
        <f t="shared" si="9"/>
        <v>109.3576245120076</v>
      </c>
      <c r="P32" s="61">
        <f t="shared" si="10"/>
        <v>163.80580247422293</v>
      </c>
      <c r="Q32" s="34">
        <f t="shared" si="1"/>
        <v>0.19602774691254909</v>
      </c>
    </row>
    <row r="33" spans="1:17" x14ac:dyDescent="0.25">
      <c r="A33" t="s">
        <v>258</v>
      </c>
      <c r="B33">
        <v>71455.929999999993</v>
      </c>
      <c r="C33" s="67">
        <f t="shared" si="2"/>
        <v>-2.6573031989713836E-2</v>
      </c>
      <c r="D33">
        <v>53.805</v>
      </c>
      <c r="E33" s="31">
        <f t="shared" si="3"/>
        <v>-2.6573031989713836E-2</v>
      </c>
      <c r="F33">
        <v>108.61</v>
      </c>
      <c r="G33" s="31">
        <f t="shared" si="4"/>
        <v>-4.9947515745276339E-2</v>
      </c>
      <c r="H33" s="17">
        <f t="shared" si="0"/>
        <v>5843.7610500000001</v>
      </c>
      <c r="I33" s="65">
        <f t="shared" si="5"/>
        <v>-3.5426475793463252E-2</v>
      </c>
      <c r="J33">
        <v>87.05</v>
      </c>
      <c r="K33" s="31">
        <f t="shared" si="6"/>
        <v>-5.830809173517959E-2</v>
      </c>
      <c r="L33" s="61" t="s">
        <v>258</v>
      </c>
      <c r="M33" s="61">
        <f t="shared" si="7"/>
        <v>161.07535305852349</v>
      </c>
      <c r="N33" s="61">
        <f t="shared" si="8"/>
        <v>131.44136512162663</v>
      </c>
      <c r="O33" s="61">
        <f t="shared" si="9"/>
        <v>102.98119011002012</v>
      </c>
      <c r="P33" s="61">
        <f t="shared" si="10"/>
        <v>158.00274017804105</v>
      </c>
      <c r="Q33" s="34">
        <f t="shared" si="1"/>
        <v>0.22545404872716923</v>
      </c>
    </row>
    <row r="34" spans="1:17" x14ac:dyDescent="0.25">
      <c r="A34" t="s">
        <v>257</v>
      </c>
      <c r="B34">
        <v>70760.785000000003</v>
      </c>
      <c r="C34" s="67">
        <f t="shared" si="2"/>
        <v>-9.7283038650534115E-3</v>
      </c>
      <c r="D34">
        <v>54.265000000000001</v>
      </c>
      <c r="E34" s="31">
        <f t="shared" si="3"/>
        <v>-9.7283038650534115E-3</v>
      </c>
      <c r="F34">
        <v>107.6</v>
      </c>
      <c r="G34" s="31">
        <f t="shared" si="4"/>
        <v>-9.2993278703619175E-3</v>
      </c>
      <c r="H34" s="17">
        <f t="shared" ref="H34:H66" si="11">D34*F34</f>
        <v>5838.9139999999998</v>
      </c>
      <c r="I34" s="65">
        <f t="shared" si="5"/>
        <v>-8.2944014283414802E-4</v>
      </c>
      <c r="J34">
        <v>88.69</v>
      </c>
      <c r="K34" s="31">
        <f t="shared" si="6"/>
        <v>1.8839747271683027E-2</v>
      </c>
      <c r="L34" s="61" t="s">
        <v>257</v>
      </c>
      <c r="M34" s="61">
        <f t="shared" si="7"/>
        <v>159.50836307879939</v>
      </c>
      <c r="N34" s="61">
        <f t="shared" si="8"/>
        <v>130.21904877163269</v>
      </c>
      <c r="O34" s="61">
        <f t="shared" si="9"/>
        <v>104.92132970543004</v>
      </c>
      <c r="P34" s="61">
        <f t="shared" si="10"/>
        <v>157.8716863626596</v>
      </c>
      <c r="Q34" s="34">
        <f t="shared" ref="Q34:Q66" si="12">M34/N34-1</f>
        <v>0.22492342390345565</v>
      </c>
    </row>
    <row r="35" spans="1:17" x14ac:dyDescent="0.25">
      <c r="A35" t="s">
        <v>256</v>
      </c>
      <c r="B35">
        <v>70473.55</v>
      </c>
      <c r="C35" s="67">
        <f t="shared" ref="C35:C65" si="13">B35/B34-1</f>
        <v>-4.0592398741761127E-3</v>
      </c>
      <c r="D35">
        <v>54.84</v>
      </c>
      <c r="E35" s="31">
        <f t="shared" ref="E35:E67" si="14">B35/B34-1</f>
        <v>-4.0592398741761127E-3</v>
      </c>
      <c r="F35">
        <v>112.97</v>
      </c>
      <c r="G35" s="31">
        <f t="shared" ref="G35:G66" si="15">F35/F34-1</f>
        <v>4.990706319702598E-2</v>
      </c>
      <c r="H35" s="17">
        <f t="shared" si="11"/>
        <v>6195.2748000000001</v>
      </c>
      <c r="I35" s="65">
        <f t="shared" ref="I35:I66" si="16">H35/H34-1</f>
        <v>6.10320343817361E-2</v>
      </c>
      <c r="J35">
        <v>93.14</v>
      </c>
      <c r="K35" s="31">
        <f t="shared" ref="K35:K66" si="17">J35/J34-1</f>
        <v>5.0174766039012386E-2</v>
      </c>
      <c r="L35" s="61" t="s">
        <v>256</v>
      </c>
      <c r="M35" s="61">
        <f t="shared" ref="M35:M66" si="18">(1+(B35/B34)-1)*M34</f>
        <v>158.86088037112538</v>
      </c>
      <c r="N35" s="61">
        <f t="shared" ref="N35:N66" si="19">(1+(F35/F34)-1)*N34</f>
        <v>136.71789906813515</v>
      </c>
      <c r="O35" s="61">
        <f t="shared" ref="O35:O66" si="20">(1+(J35/J34)-1)*O34</f>
        <v>110.18573287590208</v>
      </c>
      <c r="P35" s="61">
        <f t="shared" ref="P35:P67" si="21">(1+(H35/H34)-1)*P34</f>
        <v>167.50691655264811</v>
      </c>
      <c r="Q35" s="34">
        <f t="shared" si="12"/>
        <v>0.16196109985536689</v>
      </c>
    </row>
    <row r="36" spans="1:17" x14ac:dyDescent="0.25">
      <c r="A36" t="s">
        <v>255</v>
      </c>
      <c r="B36">
        <v>71872.722499999989</v>
      </c>
      <c r="C36" s="67">
        <f t="shared" si="13"/>
        <v>1.9853867160090299E-2</v>
      </c>
      <c r="D36">
        <v>53.225000000000001</v>
      </c>
      <c r="E36" s="31">
        <f t="shared" si="14"/>
        <v>1.9853867160090299E-2</v>
      </c>
      <c r="F36">
        <v>118.29</v>
      </c>
      <c r="G36" s="31">
        <f t="shared" si="15"/>
        <v>4.7092148357971153E-2</v>
      </c>
      <c r="H36" s="17">
        <f t="shared" si="11"/>
        <v>6295.9852500000006</v>
      </c>
      <c r="I36" s="65">
        <f t="shared" si="16"/>
        <v>1.6256010145022204E-2</v>
      </c>
      <c r="J36">
        <v>97.46</v>
      </c>
      <c r="K36" s="31">
        <f t="shared" si="17"/>
        <v>4.6381790852479954E-2</v>
      </c>
      <c r="L36" s="61" t="s">
        <v>255</v>
      </c>
      <c r="M36" s="61">
        <f t="shared" si="18"/>
        <v>162.01488318694871</v>
      </c>
      <c r="N36" s="61">
        <f t="shared" si="19"/>
        <v>143.15623865424192</v>
      </c>
      <c r="O36" s="61">
        <f t="shared" si="20"/>
        <v>115.29634449307936</v>
      </c>
      <c r="P36" s="61">
        <f t="shared" si="21"/>
        <v>170.22991068748931</v>
      </c>
      <c r="Q36" s="34">
        <f t="shared" si="12"/>
        <v>0.13173470265766851</v>
      </c>
    </row>
    <row r="37" spans="1:17" x14ac:dyDescent="0.25">
      <c r="A37" t="s">
        <v>254</v>
      </c>
      <c r="B37">
        <v>74502.547500000001</v>
      </c>
      <c r="C37" s="67">
        <f t="shared" si="13"/>
        <v>3.6590028991875245E-2</v>
      </c>
      <c r="D37">
        <v>54.354999999999997</v>
      </c>
      <c r="E37" s="31">
        <f t="shared" si="14"/>
        <v>3.6590028991875245E-2</v>
      </c>
      <c r="F37">
        <v>108.64</v>
      </c>
      <c r="G37" s="31">
        <f t="shared" si="15"/>
        <v>-8.1579169836841658E-2</v>
      </c>
      <c r="H37" s="17">
        <f t="shared" si="11"/>
        <v>5905.1271999999999</v>
      </c>
      <c r="I37" s="65">
        <f t="shared" si="16"/>
        <v>-6.2080521869075311E-2</v>
      </c>
      <c r="J37">
        <v>90.71</v>
      </c>
      <c r="K37" s="31">
        <f t="shared" si="17"/>
        <v>-6.9259183254668621E-2</v>
      </c>
      <c r="L37" s="61" t="s">
        <v>254</v>
      </c>
      <c r="M37" s="61">
        <f t="shared" si="18"/>
        <v>167.94301245987441</v>
      </c>
      <c r="N37" s="61">
        <f t="shared" si="19"/>
        <v>131.47767154786411</v>
      </c>
      <c r="O37" s="61">
        <f t="shared" si="20"/>
        <v>107.31101384123978</v>
      </c>
      <c r="P37" s="61">
        <f t="shared" si="21"/>
        <v>159.66194899428388</v>
      </c>
      <c r="Q37" s="34">
        <f t="shared" si="12"/>
        <v>0.27735006623337699</v>
      </c>
    </row>
    <row r="38" spans="1:17" x14ac:dyDescent="0.25">
      <c r="A38" t="s">
        <v>253</v>
      </c>
      <c r="B38">
        <v>70671.505000000005</v>
      </c>
      <c r="C38" s="67">
        <f t="shared" si="13"/>
        <v>-5.1421630918056849E-2</v>
      </c>
      <c r="D38">
        <v>54.284999999999997</v>
      </c>
      <c r="E38" s="31">
        <f t="shared" si="14"/>
        <v>-5.1421630918056849E-2</v>
      </c>
      <c r="F38">
        <v>104.08</v>
      </c>
      <c r="G38" s="31">
        <f t="shared" si="15"/>
        <v>-4.1973490427098747E-2</v>
      </c>
      <c r="H38" s="17">
        <f t="shared" si="11"/>
        <v>5649.9827999999998</v>
      </c>
      <c r="I38" s="65">
        <f t="shared" si="16"/>
        <v>-4.3207265713090859E-2</v>
      </c>
      <c r="J38">
        <v>97.1</v>
      </c>
      <c r="K38" s="31">
        <f t="shared" si="17"/>
        <v>7.0444272957777443E-2</v>
      </c>
      <c r="L38" s="61" t="s">
        <v>253</v>
      </c>
      <c r="M38" s="61">
        <f t="shared" si="18"/>
        <v>159.30710885789614</v>
      </c>
      <c r="N38" s="61">
        <f t="shared" si="19"/>
        <v>125.9590947597726</v>
      </c>
      <c r="O38" s="61">
        <f t="shared" si="20"/>
        <v>114.87046019164791</v>
      </c>
      <c r="P38" s="61">
        <f t="shared" si="21"/>
        <v>152.7633927398179</v>
      </c>
      <c r="Q38" s="34">
        <f t="shared" si="12"/>
        <v>0.26475272914373038</v>
      </c>
    </row>
    <row r="39" spans="1:17" x14ac:dyDescent="0.25">
      <c r="A39" t="s">
        <v>252</v>
      </c>
      <c r="B39">
        <v>66995.097500000003</v>
      </c>
      <c r="C39" s="67">
        <f t="shared" si="13"/>
        <v>-5.20210727081587E-2</v>
      </c>
      <c r="D39">
        <v>53.805</v>
      </c>
      <c r="E39" s="31">
        <f t="shared" si="14"/>
        <v>-5.20210727081587E-2</v>
      </c>
      <c r="F39">
        <v>103.59</v>
      </c>
      <c r="G39" s="31">
        <f t="shared" si="15"/>
        <v>-4.7079169869330695E-3</v>
      </c>
      <c r="H39" s="17">
        <f t="shared" si="11"/>
        <v>5573.6599500000002</v>
      </c>
      <c r="I39" s="65">
        <f t="shared" si="16"/>
        <v>-1.3508510149800701E-2</v>
      </c>
      <c r="J39">
        <v>90.74</v>
      </c>
      <c r="K39" s="31">
        <f t="shared" si="17"/>
        <v>-6.5499485066941254E-2</v>
      </c>
      <c r="L39" s="61" t="s">
        <v>252</v>
      </c>
      <c r="M39" s="61">
        <f t="shared" si="18"/>
        <v>151.01978216507297</v>
      </c>
      <c r="N39" s="61">
        <f t="shared" si="19"/>
        <v>125.36608979789435</v>
      </c>
      <c r="O39" s="61">
        <f t="shared" si="20"/>
        <v>107.34650419969239</v>
      </c>
      <c r="P39" s="61">
        <f t="shared" si="21"/>
        <v>150.69978689847409</v>
      </c>
      <c r="Q39" s="34">
        <f t="shared" si="12"/>
        <v>0.20463023460758456</v>
      </c>
    </row>
    <row r="40" spans="1:17" x14ac:dyDescent="0.25">
      <c r="A40" t="s">
        <v>251</v>
      </c>
      <c r="B40">
        <v>66745.172499999986</v>
      </c>
      <c r="C40" s="67">
        <f t="shared" si="13"/>
        <v>-3.7304968471763011E-3</v>
      </c>
      <c r="D40">
        <v>56.51</v>
      </c>
      <c r="E40" s="31">
        <f t="shared" si="14"/>
        <v>-3.7304968471763011E-3</v>
      </c>
      <c r="F40">
        <v>101.5</v>
      </c>
      <c r="G40" s="31">
        <f t="shared" si="15"/>
        <v>-2.0175692634424203E-2</v>
      </c>
      <c r="H40" s="17">
        <f t="shared" si="11"/>
        <v>5735.7649999999994</v>
      </c>
      <c r="I40" s="65">
        <f t="shared" si="16"/>
        <v>2.9084129899241473E-2</v>
      </c>
      <c r="J40">
        <v>93.41</v>
      </c>
      <c r="K40" s="31">
        <f t="shared" si="17"/>
        <v>2.9424729997795884E-2</v>
      </c>
      <c r="L40" s="61" t="s">
        <v>251</v>
      </c>
      <c r="M40" s="61">
        <f t="shared" si="18"/>
        <v>150.4564033438449</v>
      </c>
      <c r="N40" s="61">
        <f t="shared" si="19"/>
        <v>122.83674210335242</v>
      </c>
      <c r="O40" s="61">
        <f t="shared" si="20"/>
        <v>110.50514610197563</v>
      </c>
      <c r="P40" s="61">
        <f t="shared" si="21"/>
        <v>155.08275907641735</v>
      </c>
      <c r="Q40" s="34">
        <f t="shared" si="12"/>
        <v>0.22484853283762463</v>
      </c>
    </row>
    <row r="41" spans="1:17" x14ac:dyDescent="0.25">
      <c r="A41" t="s">
        <v>250</v>
      </c>
      <c r="B41">
        <v>70506.75</v>
      </c>
      <c r="C41" s="67">
        <f t="shared" si="13"/>
        <v>5.6357296851693883E-2</v>
      </c>
      <c r="D41">
        <v>59.384999999999998</v>
      </c>
      <c r="E41" s="31">
        <f t="shared" si="14"/>
        <v>5.6357296851693883E-2</v>
      </c>
      <c r="F41">
        <v>108.43</v>
      </c>
      <c r="G41" s="31">
        <f t="shared" si="15"/>
        <v>6.8275862068965631E-2</v>
      </c>
      <c r="H41" s="17">
        <f t="shared" si="11"/>
        <v>6439.1155500000004</v>
      </c>
      <c r="I41" s="65">
        <f t="shared" si="16"/>
        <v>0.12262541265201787</v>
      </c>
      <c r="J41">
        <v>97.94</v>
      </c>
      <c r="K41" s="31">
        <f t="shared" si="17"/>
        <v>4.8495878385611757E-2</v>
      </c>
      <c r="L41" s="61" t="s">
        <v>250</v>
      </c>
      <c r="M41" s="61">
        <f t="shared" si="18"/>
        <v>158.93571953033211</v>
      </c>
      <c r="N41" s="61">
        <f t="shared" si="19"/>
        <v>131.22352656420199</v>
      </c>
      <c r="O41" s="61">
        <f t="shared" si="20"/>
        <v>115.86419022832129</v>
      </c>
      <c r="P41" s="61">
        <f t="shared" si="21"/>
        <v>174.09984640337646</v>
      </c>
      <c r="Q41" s="34">
        <f t="shared" si="12"/>
        <v>0.21118311397134826</v>
      </c>
    </row>
    <row r="42" spans="1:17" x14ac:dyDescent="0.25">
      <c r="A42" t="s">
        <v>249</v>
      </c>
      <c r="B42">
        <v>74827.64499999999</v>
      </c>
      <c r="C42" s="67">
        <f t="shared" si="13"/>
        <v>6.1283423218344124E-2</v>
      </c>
      <c r="D42">
        <v>60.41</v>
      </c>
      <c r="E42" s="31">
        <f t="shared" si="14"/>
        <v>6.1283423218344124E-2</v>
      </c>
      <c r="F42">
        <v>108.49</v>
      </c>
      <c r="G42" s="31">
        <f t="shared" si="15"/>
        <v>5.5335239324905139E-4</v>
      </c>
      <c r="H42" s="17">
        <f t="shared" si="11"/>
        <v>6553.8808999999992</v>
      </c>
      <c r="I42" s="65">
        <f t="shared" si="16"/>
        <v>1.7823154299505983E-2</v>
      </c>
      <c r="J42">
        <v>107.93</v>
      </c>
      <c r="K42" s="31">
        <f t="shared" si="17"/>
        <v>0.10200122523994293</v>
      </c>
      <c r="L42" s="61" t="s">
        <v>249</v>
      </c>
      <c r="M42" s="61">
        <f t="shared" si="18"/>
        <v>168.67584449482152</v>
      </c>
      <c r="N42" s="61">
        <f t="shared" si="19"/>
        <v>131.29613941667685</v>
      </c>
      <c r="O42" s="61">
        <f t="shared" si="20"/>
        <v>127.68247959304387</v>
      </c>
      <c r="P42" s="61">
        <f t="shared" si="21"/>
        <v>177.20285482934412</v>
      </c>
      <c r="Q42" s="34">
        <f t="shared" si="12"/>
        <v>0.2846976708090232</v>
      </c>
    </row>
    <row r="43" spans="1:17" x14ac:dyDescent="0.25">
      <c r="A43" t="s">
        <v>248</v>
      </c>
      <c r="B43">
        <v>80012.239999999991</v>
      </c>
      <c r="C43" s="67">
        <f t="shared" si="13"/>
        <v>6.9287159845802915E-2</v>
      </c>
      <c r="D43">
        <v>65.75</v>
      </c>
      <c r="E43" s="31">
        <f t="shared" si="14"/>
        <v>6.9287159845802915E-2</v>
      </c>
      <c r="F43">
        <v>112.37</v>
      </c>
      <c r="G43" s="31">
        <f t="shared" si="15"/>
        <v>3.5763664853903698E-2</v>
      </c>
      <c r="H43" s="17">
        <f t="shared" si="11"/>
        <v>7388.3275000000003</v>
      </c>
      <c r="I43" s="65">
        <f t="shared" si="16"/>
        <v>0.12732098930879276</v>
      </c>
      <c r="J43">
        <v>108.67</v>
      </c>
      <c r="K43" s="31">
        <f t="shared" si="17"/>
        <v>6.8562957472435571E-3</v>
      </c>
      <c r="L43" s="61" t="s">
        <v>248</v>
      </c>
      <c r="M43" s="61">
        <f t="shared" si="18"/>
        <v>180.36291469446002</v>
      </c>
      <c r="N43" s="61">
        <f t="shared" si="19"/>
        <v>135.99177054338631</v>
      </c>
      <c r="O43" s="61">
        <f t="shared" si="20"/>
        <v>128.55790843487517</v>
      </c>
      <c r="P43" s="61">
        <f t="shared" si="21"/>
        <v>199.76449761455859</v>
      </c>
      <c r="Q43" s="34">
        <f t="shared" si="12"/>
        <v>0.32627815619855993</v>
      </c>
    </row>
    <row r="44" spans="1:17" x14ac:dyDescent="0.25">
      <c r="A44" s="62" t="s">
        <v>247</v>
      </c>
      <c r="B44" s="62">
        <v>82073.537499999991</v>
      </c>
      <c r="C44" s="67">
        <f t="shared" si="13"/>
        <v>2.5762277121600397E-2</v>
      </c>
      <c r="D44">
        <v>62.6</v>
      </c>
      <c r="E44" s="31">
        <f t="shared" si="14"/>
        <v>2.5762277121600397E-2</v>
      </c>
      <c r="F44" s="62">
        <v>109.02</v>
      </c>
      <c r="G44" s="31">
        <f t="shared" si="15"/>
        <v>-2.9812227462846064E-2</v>
      </c>
      <c r="H44" s="17">
        <f t="shared" si="11"/>
        <v>6824.652</v>
      </c>
      <c r="I44" s="65">
        <f t="shared" si="16"/>
        <v>-7.6292706299226798E-2</v>
      </c>
      <c r="J44" s="62">
        <v>102.09</v>
      </c>
      <c r="K44" s="31">
        <f t="shared" si="17"/>
        <v>-6.0550289868408935E-2</v>
      </c>
      <c r="L44" s="63" t="s">
        <v>247</v>
      </c>
      <c r="M44" s="63">
        <f t="shared" si="18"/>
        <v>185.0094740852783</v>
      </c>
      <c r="N44" s="63">
        <f t="shared" si="19"/>
        <v>131.9375529468717</v>
      </c>
      <c r="O44" s="63">
        <f t="shared" si="20"/>
        <v>120.7736898142671</v>
      </c>
      <c r="P44" s="61">
        <f t="shared" si="21"/>
        <v>184.52392346903849</v>
      </c>
      <c r="Q44" s="64">
        <f t="shared" si="12"/>
        <v>0.40225030670212192</v>
      </c>
    </row>
    <row r="45" spans="1:17" x14ac:dyDescent="0.25">
      <c r="A45" t="s">
        <v>246</v>
      </c>
      <c r="B45">
        <v>78427.930000000008</v>
      </c>
      <c r="C45" s="67">
        <f t="shared" si="13"/>
        <v>-4.4418793329092043E-2</v>
      </c>
      <c r="D45">
        <v>61.51</v>
      </c>
      <c r="E45" s="31">
        <f t="shared" si="14"/>
        <v>-4.4418793329092043E-2</v>
      </c>
      <c r="F45">
        <v>105.76</v>
      </c>
      <c r="G45" s="31">
        <f t="shared" si="15"/>
        <v>-2.9902770133920287E-2</v>
      </c>
      <c r="H45" s="17">
        <f t="shared" si="11"/>
        <v>6505.2975999999999</v>
      </c>
      <c r="I45" s="65">
        <f t="shared" si="16"/>
        <v>-4.6794239471844135E-2</v>
      </c>
      <c r="J45">
        <v>94.56</v>
      </c>
      <c r="K45" s="31">
        <f t="shared" si="17"/>
        <v>-7.3758448427857726E-2</v>
      </c>
      <c r="L45" s="61" t="s">
        <v>246</v>
      </c>
      <c r="M45" s="61">
        <f t="shared" si="18"/>
        <v>176.79157649196031</v>
      </c>
      <c r="N45" s="61">
        <f t="shared" si="19"/>
        <v>127.99225462906946</v>
      </c>
      <c r="O45" s="61">
        <f t="shared" si="20"/>
        <v>111.8656098426594</v>
      </c>
      <c r="P45" s="61">
        <f t="shared" si="21"/>
        <v>175.88926680594406</v>
      </c>
      <c r="Q45" s="34">
        <f t="shared" si="12"/>
        <v>0.38126777283761992</v>
      </c>
    </row>
    <row r="46" spans="1:17" x14ac:dyDescent="0.25">
      <c r="A46" t="s">
        <v>245</v>
      </c>
      <c r="B46">
        <v>79031.934999999998</v>
      </c>
      <c r="C46" s="67">
        <f t="shared" si="13"/>
        <v>7.7014017837777615E-3</v>
      </c>
      <c r="D46">
        <v>62.35</v>
      </c>
      <c r="E46" s="31">
        <f t="shared" si="14"/>
        <v>7.7014017837777615E-3</v>
      </c>
      <c r="F46">
        <v>108.91</v>
      </c>
      <c r="G46" s="31">
        <f t="shared" si="15"/>
        <v>2.9784417549167941E-2</v>
      </c>
      <c r="H46" s="17">
        <f t="shared" si="11"/>
        <v>6790.5384999999997</v>
      </c>
      <c r="I46" s="65">
        <f t="shared" si="16"/>
        <v>4.3847479014641921E-2</v>
      </c>
      <c r="J46">
        <v>93.61</v>
      </c>
      <c r="K46" s="31">
        <f t="shared" si="17"/>
        <v>-1.0046531302876471E-2</v>
      </c>
      <c r="L46" s="61" t="s">
        <v>245</v>
      </c>
      <c r="M46" s="61">
        <f t="shared" si="18"/>
        <v>178.15311945451239</v>
      </c>
      <c r="N46" s="61">
        <f t="shared" si="19"/>
        <v>131.80442938400108</v>
      </c>
      <c r="O46" s="61">
        <f t="shared" si="20"/>
        <v>110.74174849165976</v>
      </c>
      <c r="P46" s="61">
        <f t="shared" si="21"/>
        <v>183.6015677411184</v>
      </c>
      <c r="Q46" s="34">
        <f t="shared" si="12"/>
        <v>0.35164743921828534</v>
      </c>
    </row>
    <row r="47" spans="1:17" x14ac:dyDescent="0.25">
      <c r="A47" t="s">
        <v>244</v>
      </c>
      <c r="B47">
        <v>81109.532500000001</v>
      </c>
      <c r="C47" s="67">
        <f t="shared" si="13"/>
        <v>2.6288075826563118E-2</v>
      </c>
      <c r="D47">
        <v>61.8</v>
      </c>
      <c r="E47" s="31">
        <f t="shared" si="14"/>
        <v>2.6288075826563118E-2</v>
      </c>
      <c r="F47">
        <v>106.44</v>
      </c>
      <c r="G47" s="31">
        <f t="shared" si="15"/>
        <v>-2.2679276466807452E-2</v>
      </c>
      <c r="H47" s="17">
        <f t="shared" si="11"/>
        <v>6577.9919999999993</v>
      </c>
      <c r="I47" s="65">
        <f t="shared" si="16"/>
        <v>-3.1300389505191761E-2</v>
      </c>
      <c r="J47">
        <v>95.14</v>
      </c>
      <c r="K47" s="31">
        <f t="shared" si="17"/>
        <v>1.6344407648755555E-2</v>
      </c>
      <c r="L47" s="61" t="s">
        <v>244</v>
      </c>
      <c r="M47" s="61">
        <f t="shared" si="18"/>
        <v>182.83642216747134</v>
      </c>
      <c r="N47" s="61">
        <f t="shared" si="19"/>
        <v>128.81520029045154</v>
      </c>
      <c r="O47" s="61">
        <f t="shared" si="20"/>
        <v>112.55175677274343</v>
      </c>
      <c r="P47" s="61">
        <f t="shared" si="21"/>
        <v>177.85476715705755</v>
      </c>
      <c r="Q47" s="34">
        <f t="shared" si="12"/>
        <v>0.41936993270369616</v>
      </c>
    </row>
    <row r="48" spans="1:17" x14ac:dyDescent="0.25">
      <c r="A48" t="s">
        <v>243</v>
      </c>
      <c r="B48">
        <v>78878.304999999993</v>
      </c>
      <c r="C48" s="67">
        <f t="shared" si="13"/>
        <v>-2.7508819632267145E-2</v>
      </c>
      <c r="D48">
        <v>62.7</v>
      </c>
      <c r="E48" s="31">
        <f t="shared" si="14"/>
        <v>-2.7508819632267145E-2</v>
      </c>
      <c r="F48">
        <v>110.18</v>
      </c>
      <c r="G48" s="31">
        <f t="shared" si="15"/>
        <v>3.5137166478767412E-2</v>
      </c>
      <c r="H48" s="17">
        <f t="shared" si="11"/>
        <v>6908.286000000001</v>
      </c>
      <c r="I48" s="65">
        <f t="shared" si="16"/>
        <v>5.0211979582827304E-2</v>
      </c>
      <c r="J48">
        <v>96.44</v>
      </c>
      <c r="K48" s="31">
        <f t="shared" si="17"/>
        <v>1.3664073996216164E-2</v>
      </c>
      <c r="L48" s="61" t="s">
        <v>243</v>
      </c>
      <c r="M48" s="61">
        <f t="shared" si="18"/>
        <v>177.80680800785734</v>
      </c>
      <c r="N48" s="61">
        <f t="shared" si="19"/>
        <v>133.3414014280529</v>
      </c>
      <c r="O48" s="61">
        <f t="shared" si="20"/>
        <v>114.08967230569031</v>
      </c>
      <c r="P48" s="61">
        <f t="shared" si="21"/>
        <v>186.78520709425624</v>
      </c>
      <c r="Q48" s="34">
        <f t="shared" si="12"/>
        <v>0.33347037081949882</v>
      </c>
    </row>
    <row r="49" spans="1:17" x14ac:dyDescent="0.25">
      <c r="A49" t="s">
        <v>242</v>
      </c>
      <c r="B49">
        <v>79712.862500000003</v>
      </c>
      <c r="C49" s="67">
        <f t="shared" si="13"/>
        <v>1.0580317363564129E-2</v>
      </c>
      <c r="D49">
        <v>61.95</v>
      </c>
      <c r="E49" s="31">
        <f t="shared" si="14"/>
        <v>1.0580317363564129E-2</v>
      </c>
      <c r="F49">
        <v>108.27</v>
      </c>
      <c r="G49" s="31">
        <f t="shared" si="15"/>
        <v>-1.7335269558903743E-2</v>
      </c>
      <c r="H49" s="17">
        <f t="shared" si="11"/>
        <v>6707.3265000000001</v>
      </c>
      <c r="I49" s="65">
        <f t="shared" si="16"/>
        <v>-2.9089632363223039E-2</v>
      </c>
      <c r="J49">
        <v>105.34</v>
      </c>
      <c r="K49" s="31">
        <f t="shared" si="17"/>
        <v>9.2285358772293824E-2</v>
      </c>
      <c r="L49" s="61" t="s">
        <v>242</v>
      </c>
      <c r="M49" s="61">
        <f t="shared" si="18"/>
        <v>179.68806046598274</v>
      </c>
      <c r="N49" s="61">
        <f t="shared" si="19"/>
        <v>131.02989229093561</v>
      </c>
      <c r="O49" s="61">
        <f t="shared" si="20"/>
        <v>124.6184786466344</v>
      </c>
      <c r="P49" s="61">
        <f t="shared" si="21"/>
        <v>181.35169408899586</v>
      </c>
      <c r="Q49" s="34">
        <f t="shared" si="12"/>
        <v>0.37135166124541819</v>
      </c>
    </row>
    <row r="50" spans="1:17" x14ac:dyDescent="0.25">
      <c r="A50" t="s">
        <v>241</v>
      </c>
      <c r="B50">
        <v>76610.862500000003</v>
      </c>
      <c r="C50" s="67">
        <f t="shared" si="13"/>
        <v>-3.891467327496867E-2</v>
      </c>
      <c r="D50">
        <v>59.85</v>
      </c>
      <c r="E50" s="31">
        <f t="shared" si="14"/>
        <v>-3.891467327496867E-2</v>
      </c>
      <c r="F50">
        <v>105.83</v>
      </c>
      <c r="G50" s="31">
        <f t="shared" si="15"/>
        <v>-2.2536251962685827E-2</v>
      </c>
      <c r="H50" s="17">
        <f t="shared" si="11"/>
        <v>6333.9255000000003</v>
      </c>
      <c r="I50" s="65">
        <f t="shared" si="16"/>
        <v>-5.5670616302933795E-2</v>
      </c>
      <c r="J50">
        <v>99.69</v>
      </c>
      <c r="K50" s="31">
        <f t="shared" si="17"/>
        <v>-5.3635845832542328E-2</v>
      </c>
      <c r="L50" s="61" t="s">
        <v>241</v>
      </c>
      <c r="M50" s="61">
        <f t="shared" si="18"/>
        <v>172.69555830153618</v>
      </c>
      <c r="N50" s="61">
        <f t="shared" si="19"/>
        <v>128.07696962362348</v>
      </c>
      <c r="O50" s="61">
        <f t="shared" si="20"/>
        <v>117.93446113805754</v>
      </c>
      <c r="P50" s="61">
        <f t="shared" si="21"/>
        <v>171.25573351148037</v>
      </c>
      <c r="Q50" s="34">
        <f t="shared" si="12"/>
        <v>0.34837323844429013</v>
      </c>
    </row>
    <row r="51" spans="1:17" x14ac:dyDescent="0.25">
      <c r="A51" t="s">
        <v>240</v>
      </c>
      <c r="B51">
        <v>75796.827499999999</v>
      </c>
      <c r="C51" s="67">
        <f t="shared" si="13"/>
        <v>-1.0625581979317955E-2</v>
      </c>
      <c r="D51">
        <v>60.22</v>
      </c>
      <c r="E51" s="31">
        <f t="shared" si="14"/>
        <v>-1.0625581979317955E-2</v>
      </c>
      <c r="F51">
        <v>108.19</v>
      </c>
      <c r="G51" s="31">
        <f t="shared" si="15"/>
        <v>2.2299914957951472E-2</v>
      </c>
      <c r="H51" s="17">
        <f t="shared" si="11"/>
        <v>6515.2017999999998</v>
      </c>
      <c r="I51" s="65">
        <f t="shared" si="16"/>
        <v>2.8619897723773269E-2</v>
      </c>
      <c r="J51">
        <v>99.69</v>
      </c>
      <c r="K51" s="31">
        <f t="shared" si="17"/>
        <v>0</v>
      </c>
      <c r="L51" s="61" t="s">
        <v>240</v>
      </c>
      <c r="M51" s="61">
        <f t="shared" si="18"/>
        <v>170.86056748933913</v>
      </c>
      <c r="N51" s="61">
        <f t="shared" si="19"/>
        <v>130.93307515430243</v>
      </c>
      <c r="O51" s="61">
        <f t="shared" si="20"/>
        <v>117.93446113805754</v>
      </c>
      <c r="P51" s="61">
        <f t="shared" si="21"/>
        <v>176.15705508918876</v>
      </c>
      <c r="Q51" s="34">
        <f t="shared" si="12"/>
        <v>0.30494580752787503</v>
      </c>
    </row>
    <row r="52" spans="1:17" x14ac:dyDescent="0.25">
      <c r="A52" t="s">
        <v>239</v>
      </c>
      <c r="B52">
        <v>74401.777499999997</v>
      </c>
      <c r="C52" s="67">
        <f t="shared" si="13"/>
        <v>-1.8405123881998886E-2</v>
      </c>
      <c r="D52">
        <v>59.27</v>
      </c>
      <c r="E52" s="31">
        <f t="shared" si="14"/>
        <v>-1.8405123881998886E-2</v>
      </c>
      <c r="F52">
        <v>109.21</v>
      </c>
      <c r="G52" s="31">
        <f t="shared" si="15"/>
        <v>9.4278583972640106E-3</v>
      </c>
      <c r="H52" s="17">
        <f t="shared" si="11"/>
        <v>6472.8766999999998</v>
      </c>
      <c r="I52" s="65">
        <f t="shared" si="16"/>
        <v>-6.4963605578571837E-3</v>
      </c>
      <c r="J52">
        <v>103.07</v>
      </c>
      <c r="K52" s="31">
        <f t="shared" si="17"/>
        <v>3.390510582806705E-2</v>
      </c>
      <c r="L52" s="61" t="s">
        <v>239</v>
      </c>
      <c r="M52" s="61">
        <f t="shared" si="18"/>
        <v>167.71585757814921</v>
      </c>
      <c r="N52" s="61">
        <f t="shared" si="19"/>
        <v>132.16749364637553</v>
      </c>
      <c r="O52" s="61">
        <f t="shared" si="20"/>
        <v>121.93304152371944</v>
      </c>
      <c r="P52" s="61">
        <f t="shared" si="21"/>
        <v>175.01267534451907</v>
      </c>
      <c r="Q52" s="34">
        <f t="shared" si="12"/>
        <v>0.26896450065767397</v>
      </c>
    </row>
    <row r="53" spans="1:17" x14ac:dyDescent="0.25">
      <c r="A53" t="s">
        <v>237</v>
      </c>
      <c r="B53">
        <v>74794.070000000007</v>
      </c>
      <c r="C53" s="67">
        <f t="shared" si="13"/>
        <v>5.2726226870052351E-3</v>
      </c>
      <c r="D53">
        <v>60.1</v>
      </c>
      <c r="E53" s="31">
        <f t="shared" si="14"/>
        <v>5.2726226870052351E-3</v>
      </c>
      <c r="F53">
        <v>107.65</v>
      </c>
      <c r="G53" s="31">
        <f t="shared" si="15"/>
        <v>-1.4284406189909227E-2</v>
      </c>
      <c r="H53" s="17">
        <f t="shared" si="11"/>
        <v>6469.7650000000003</v>
      </c>
      <c r="I53" s="65">
        <f t="shared" si="16"/>
        <v>-4.8072907058460679E-4</v>
      </c>
      <c r="J53">
        <v>106.06</v>
      </c>
      <c r="K53" s="31">
        <f t="shared" si="17"/>
        <v>2.9009411079848668E-2</v>
      </c>
      <c r="L53" s="61" t="s">
        <v>237</v>
      </c>
      <c r="M53" s="61">
        <f t="shared" si="18"/>
        <v>168.60016001378631</v>
      </c>
      <c r="N53" s="61">
        <f t="shared" si="19"/>
        <v>130.27955948202845</v>
      </c>
      <c r="O53" s="61">
        <f t="shared" si="20"/>
        <v>125.47024724949728</v>
      </c>
      <c r="P53" s="61">
        <f t="shared" si="21"/>
        <v>174.92854166376017</v>
      </c>
      <c r="Q53" s="34">
        <f t="shared" si="12"/>
        <v>0.29414131183828607</v>
      </c>
    </row>
    <row r="54" spans="1:17" x14ac:dyDescent="0.25">
      <c r="A54" t="s">
        <v>236</v>
      </c>
      <c r="B54">
        <v>74690.464999999997</v>
      </c>
      <c r="C54" s="67">
        <f t="shared" si="13"/>
        <v>-1.3852033991466062E-3</v>
      </c>
      <c r="D54">
        <v>60.75</v>
      </c>
      <c r="E54" s="31">
        <f t="shared" si="14"/>
        <v>-1.3852033991466062E-3</v>
      </c>
      <c r="F54">
        <v>104.02</v>
      </c>
      <c r="G54" s="31">
        <f t="shared" si="15"/>
        <v>-3.3720390153274549E-2</v>
      </c>
      <c r="H54" s="17">
        <f t="shared" si="11"/>
        <v>6319.2150000000001</v>
      </c>
      <c r="I54" s="65">
        <f t="shared" si="16"/>
        <v>-2.3269778732303292E-2</v>
      </c>
      <c r="J54">
        <v>97.86</v>
      </c>
      <c r="K54" s="31">
        <f t="shared" si="17"/>
        <v>-7.731472751272872E-2</v>
      </c>
      <c r="L54" s="61" t="s">
        <v>236</v>
      </c>
      <c r="M54" s="61">
        <f t="shared" si="18"/>
        <v>168.36661449903855</v>
      </c>
      <c r="N54" s="61">
        <f t="shared" si="19"/>
        <v>125.88648190729771</v>
      </c>
      <c r="O54" s="61">
        <f t="shared" si="20"/>
        <v>115.7695492724477</v>
      </c>
      <c r="P54" s="61">
        <f t="shared" si="21"/>
        <v>170.85799320527997</v>
      </c>
      <c r="Q54" s="34">
        <f t="shared" si="12"/>
        <v>0.33744792886517416</v>
      </c>
    </row>
    <row r="55" spans="1:17" x14ac:dyDescent="0.25">
      <c r="A55" t="s">
        <v>235</v>
      </c>
      <c r="B55">
        <v>74248.494999999995</v>
      </c>
      <c r="C55" s="67">
        <f t="shared" si="13"/>
        <v>-5.9173550465912994E-3</v>
      </c>
      <c r="D55">
        <v>60.5</v>
      </c>
      <c r="E55" s="31">
        <f t="shared" si="14"/>
        <v>-5.9173550465912994E-3</v>
      </c>
      <c r="F55">
        <v>99.53</v>
      </c>
      <c r="G55" s="31">
        <f t="shared" si="15"/>
        <v>-4.3164776004614436E-2</v>
      </c>
      <c r="H55" s="17">
        <f t="shared" si="11"/>
        <v>6021.5650000000005</v>
      </c>
      <c r="I55" s="65">
        <f t="shared" si="16"/>
        <v>-4.710236951899871E-2</v>
      </c>
      <c r="J55">
        <v>92.92</v>
      </c>
      <c r="K55" s="31">
        <f t="shared" si="17"/>
        <v>-5.048027794808907E-2</v>
      </c>
      <c r="L55" s="61" t="s">
        <v>235</v>
      </c>
      <c r="M55" s="61">
        <f t="shared" si="18"/>
        <v>167.37032946305516</v>
      </c>
      <c r="N55" s="61">
        <f t="shared" si="19"/>
        <v>120.45262011376026</v>
      </c>
      <c r="O55" s="61">
        <f t="shared" si="20"/>
        <v>109.92547024724955</v>
      </c>
      <c r="P55" s="61">
        <f t="shared" si="21"/>
        <v>162.81017687405031</v>
      </c>
      <c r="Q55" s="34">
        <f t="shared" si="12"/>
        <v>0.38951173751956536</v>
      </c>
    </row>
    <row r="56" spans="1:17" x14ac:dyDescent="0.25">
      <c r="A56" t="s">
        <v>234</v>
      </c>
      <c r="B56">
        <v>72071.149999999994</v>
      </c>
      <c r="C56" s="67">
        <f t="shared" si="13"/>
        <v>-2.9325106185653982E-2</v>
      </c>
      <c r="D56">
        <v>61.95</v>
      </c>
      <c r="E56" s="31">
        <f t="shared" si="14"/>
        <v>-2.9325106185653982E-2</v>
      </c>
      <c r="F56">
        <v>90.9</v>
      </c>
      <c r="G56" s="31">
        <f t="shared" si="15"/>
        <v>-8.6707525369235317E-2</v>
      </c>
      <c r="H56" s="17">
        <f t="shared" si="11"/>
        <v>5631.255000000001</v>
      </c>
      <c r="I56" s="65">
        <f t="shared" si="16"/>
        <v>-6.4818697464861574E-2</v>
      </c>
      <c r="J56">
        <v>90.74</v>
      </c>
      <c r="K56" s="31">
        <f t="shared" si="17"/>
        <v>-2.3461041756349665E-2</v>
      </c>
      <c r="L56" s="61" t="s">
        <v>234</v>
      </c>
      <c r="M56" s="61">
        <f t="shared" si="18"/>
        <v>162.46217677922314</v>
      </c>
      <c r="N56" s="61">
        <f t="shared" si="19"/>
        <v>110.00847149945552</v>
      </c>
      <c r="O56" s="61">
        <f t="shared" si="20"/>
        <v>107.34650419969246</v>
      </c>
      <c r="P56" s="61">
        <f t="shared" si="21"/>
        <v>152.25703327505062</v>
      </c>
      <c r="Q56" s="34">
        <f t="shared" si="12"/>
        <v>0.47681514491388266</v>
      </c>
    </row>
    <row r="57" spans="1:17" x14ac:dyDescent="0.25">
      <c r="A57" t="s">
        <v>233</v>
      </c>
      <c r="B57">
        <v>66899.797500000001</v>
      </c>
      <c r="C57" s="67">
        <f t="shared" si="13"/>
        <v>-7.175343393299527E-2</v>
      </c>
      <c r="D57">
        <v>61.5</v>
      </c>
      <c r="E57" s="31">
        <f t="shared" si="14"/>
        <v>-7.175343393299527E-2</v>
      </c>
      <c r="F57">
        <v>83.2</v>
      </c>
      <c r="G57" s="31">
        <f t="shared" si="15"/>
        <v>-8.4708470847084771E-2</v>
      </c>
      <c r="H57" s="17">
        <f t="shared" si="11"/>
        <v>5116.8</v>
      </c>
      <c r="I57" s="65">
        <f t="shared" si="16"/>
        <v>-9.1357077596379677E-2</v>
      </c>
      <c r="J57">
        <v>78.77</v>
      </c>
      <c r="K57" s="31">
        <f t="shared" si="17"/>
        <v>-0.13191536257438841</v>
      </c>
      <c r="L57" s="61" t="s">
        <v>233</v>
      </c>
      <c r="M57" s="61">
        <f t="shared" si="18"/>
        <v>150.80495771108457</v>
      </c>
      <c r="N57" s="61">
        <f t="shared" si="19"/>
        <v>100.68982209851153</v>
      </c>
      <c r="O57" s="61">
        <f t="shared" si="20"/>
        <v>93.185851177096907</v>
      </c>
      <c r="P57" s="61">
        <f t="shared" si="21"/>
        <v>138.34727567154727</v>
      </c>
      <c r="Q57" s="34">
        <f t="shared" si="12"/>
        <v>0.49771798745996465</v>
      </c>
    </row>
    <row r="58" spans="1:17" x14ac:dyDescent="0.25">
      <c r="A58" s="62" t="s">
        <v>232</v>
      </c>
      <c r="B58" s="62">
        <v>64145</v>
      </c>
      <c r="C58" s="67">
        <f t="shared" si="13"/>
        <v>-4.1177964701612169E-2</v>
      </c>
      <c r="D58">
        <v>62.25</v>
      </c>
      <c r="E58" s="31">
        <f t="shared" si="14"/>
        <v>-4.1177964701612169E-2</v>
      </c>
      <c r="F58" s="62">
        <v>68</v>
      </c>
      <c r="G58" s="31">
        <f t="shared" si="15"/>
        <v>-0.18269230769230771</v>
      </c>
      <c r="H58" s="17">
        <f t="shared" si="11"/>
        <v>4233</v>
      </c>
      <c r="I58" s="65">
        <f t="shared" si="16"/>
        <v>-0.17272514071294565</v>
      </c>
      <c r="J58" s="62">
        <v>68.98</v>
      </c>
      <c r="K58" s="31">
        <f t="shared" si="17"/>
        <v>-0.12428589564555026</v>
      </c>
      <c r="L58" s="63" t="s">
        <v>232</v>
      </c>
      <c r="M58" s="63">
        <f t="shared" si="18"/>
        <v>144.5951164856294</v>
      </c>
      <c r="N58" s="63">
        <f t="shared" si="19"/>
        <v>82.294566138206534</v>
      </c>
      <c r="O58" s="63">
        <f t="shared" si="20"/>
        <v>81.60416420205847</v>
      </c>
      <c r="P58" s="61">
        <f t="shared" si="21"/>
        <v>114.45122301392659</v>
      </c>
      <c r="Q58" s="64">
        <f t="shared" si="12"/>
        <v>0.75704330517758045</v>
      </c>
    </row>
    <row r="59" spans="1:17" x14ac:dyDescent="0.25">
      <c r="A59" t="s">
        <v>231</v>
      </c>
      <c r="B59">
        <v>56316.75</v>
      </c>
      <c r="C59" s="67">
        <f t="shared" si="13"/>
        <v>-0.12203990957985811</v>
      </c>
      <c r="D59">
        <v>63.17</v>
      </c>
      <c r="E59" s="31">
        <f t="shared" si="14"/>
        <v>-0.12203990957985811</v>
      </c>
      <c r="F59">
        <v>49.43</v>
      </c>
      <c r="G59" s="31">
        <f t="shared" si="15"/>
        <v>-0.27308823529411763</v>
      </c>
      <c r="H59" s="17">
        <f t="shared" si="11"/>
        <v>3122.4931000000001</v>
      </c>
      <c r="I59" s="65">
        <f t="shared" si="16"/>
        <v>-0.26234512166312307</v>
      </c>
      <c r="J59">
        <v>53.45</v>
      </c>
      <c r="K59" s="31">
        <f t="shared" si="17"/>
        <v>-0.22513772107857355</v>
      </c>
      <c r="L59" s="61" t="s">
        <v>231</v>
      </c>
      <c r="M59" s="61">
        <f t="shared" si="18"/>
        <v>126.94874154403414</v>
      </c>
      <c r="N59" s="61">
        <f t="shared" si="19"/>
        <v>59.82088829722867</v>
      </c>
      <c r="O59" s="61">
        <f t="shared" si="20"/>
        <v>63.231988643085323</v>
      </c>
      <c r="P59" s="61">
        <f t="shared" si="21"/>
        <v>84.425502987844808</v>
      </c>
      <c r="Q59" s="34">
        <f t="shared" si="12"/>
        <v>1.1221473829220168</v>
      </c>
    </row>
    <row r="60" spans="1:17" x14ac:dyDescent="0.25">
      <c r="A60" t="s">
        <v>230</v>
      </c>
      <c r="B60">
        <v>50207.86</v>
      </c>
      <c r="C60" s="67">
        <f t="shared" si="13"/>
        <v>-0.10847376668575515</v>
      </c>
      <c r="D60">
        <v>62</v>
      </c>
      <c r="E60" s="31">
        <f t="shared" si="14"/>
        <v>-0.10847376668575515</v>
      </c>
      <c r="F60">
        <v>57</v>
      </c>
      <c r="G60" s="31">
        <f t="shared" si="15"/>
        <v>0.15314586283633425</v>
      </c>
      <c r="H60" s="17">
        <f t="shared" si="11"/>
        <v>3534</v>
      </c>
      <c r="I60" s="65">
        <f t="shared" si="16"/>
        <v>0.13178792933121297</v>
      </c>
      <c r="J60">
        <v>49.25</v>
      </c>
      <c r="K60" s="31">
        <f t="shared" si="17"/>
        <v>-7.8578110383536015E-2</v>
      </c>
      <c r="L60" s="61" t="s">
        <v>230</v>
      </c>
      <c r="M60" s="61">
        <f t="shared" si="18"/>
        <v>113.17813337273634</v>
      </c>
      <c r="N60" s="61">
        <f t="shared" si="19"/>
        <v>68.982209851143722</v>
      </c>
      <c r="O60" s="61">
        <f t="shared" si="20"/>
        <v>58.263338459718476</v>
      </c>
      <c r="P60" s="61">
        <f t="shared" si="21"/>
        <v>95.551765209359004</v>
      </c>
      <c r="Q60" s="34">
        <f t="shared" si="12"/>
        <v>0.64068581764722699</v>
      </c>
    </row>
    <row r="61" spans="1:17" x14ac:dyDescent="0.25">
      <c r="A61" t="s">
        <v>229</v>
      </c>
      <c r="B61">
        <v>54223</v>
      </c>
      <c r="C61" s="67">
        <f t="shared" si="13"/>
        <v>7.9970347272319442E-2</v>
      </c>
      <c r="D61">
        <v>61.9</v>
      </c>
      <c r="E61" s="31">
        <f t="shared" si="14"/>
        <v>7.9970347272319442E-2</v>
      </c>
      <c r="F61">
        <v>59.15</v>
      </c>
      <c r="G61" s="31">
        <f t="shared" si="15"/>
        <v>3.7719298245614041E-2</v>
      </c>
      <c r="H61" s="17">
        <f t="shared" si="11"/>
        <v>3661.3849999999998</v>
      </c>
      <c r="I61" s="65">
        <f t="shared" si="16"/>
        <v>3.6045557441992004E-2</v>
      </c>
      <c r="J61">
        <v>49.59</v>
      </c>
      <c r="K61" s="31">
        <f t="shared" si="17"/>
        <v>6.9035532994925486E-3</v>
      </c>
      <c r="L61" s="61" t="s">
        <v>229</v>
      </c>
      <c r="M61" s="61">
        <f t="shared" si="18"/>
        <v>122.22902800218698</v>
      </c>
      <c r="N61" s="61">
        <f t="shared" si="19"/>
        <v>71.584170398160552</v>
      </c>
      <c r="O61" s="61">
        <f t="shared" si="20"/>
        <v>58.665562522181531</v>
      </c>
      <c r="P61" s="61">
        <f t="shared" si="21"/>
        <v>98.995981850896669</v>
      </c>
      <c r="Q61" s="34">
        <f t="shared" si="12"/>
        <v>0.70748682735768376</v>
      </c>
    </row>
    <row r="62" spans="1:17" x14ac:dyDescent="0.25">
      <c r="A62" t="s">
        <v>228</v>
      </c>
      <c r="B62">
        <v>53280.5</v>
      </c>
      <c r="C62" s="67">
        <f t="shared" si="13"/>
        <v>-1.7381922800287719E-2</v>
      </c>
      <c r="D62">
        <v>62.04</v>
      </c>
      <c r="E62" s="31">
        <f t="shared" si="14"/>
        <v>-1.7381922800287719E-2</v>
      </c>
      <c r="F62">
        <v>57.55</v>
      </c>
      <c r="G62" s="31">
        <f t="shared" si="15"/>
        <v>-2.7049873203719432E-2</v>
      </c>
      <c r="H62" s="17">
        <f t="shared" si="11"/>
        <v>3570.4019999999996</v>
      </c>
      <c r="I62" s="65">
        <f t="shared" si="16"/>
        <v>-2.4849339799010495E-2</v>
      </c>
      <c r="J62">
        <v>50.12</v>
      </c>
      <c r="K62" s="31">
        <f t="shared" si="17"/>
        <v>1.0687638636821761E-2</v>
      </c>
      <c r="L62" s="61" t="s">
        <v>228</v>
      </c>
      <c r="M62" s="61">
        <f t="shared" si="18"/>
        <v>120.10445247349877</v>
      </c>
      <c r="N62" s="61">
        <f t="shared" si="19"/>
        <v>69.647827665496862</v>
      </c>
      <c r="O62" s="61">
        <f t="shared" si="20"/>
        <v>59.292558854844465</v>
      </c>
      <c r="P62" s="61">
        <f t="shared" si="21"/>
        <v>96.535997059147078</v>
      </c>
      <c r="Q62" s="34">
        <f t="shared" si="12"/>
        <v>0.72445367643530734</v>
      </c>
    </row>
    <row r="63" spans="1:17" x14ac:dyDescent="0.25">
      <c r="A63" t="s">
        <v>227</v>
      </c>
      <c r="B63">
        <v>53589.182500000003</v>
      </c>
      <c r="C63" s="67">
        <f t="shared" si="13"/>
        <v>5.7935360966958616E-3</v>
      </c>
      <c r="D63">
        <v>63.54</v>
      </c>
      <c r="E63" s="31">
        <f t="shared" si="14"/>
        <v>5.7935360966958616E-3</v>
      </c>
      <c r="F63">
        <v>64.930000000000007</v>
      </c>
      <c r="G63" s="31">
        <f t="shared" si="15"/>
        <v>0.12823631624674214</v>
      </c>
      <c r="H63" s="17">
        <f t="shared" si="11"/>
        <v>4125.6522000000004</v>
      </c>
      <c r="I63" s="65">
        <f t="shared" si="16"/>
        <v>0.15551475716179874</v>
      </c>
      <c r="J63">
        <v>59.1</v>
      </c>
      <c r="K63" s="31">
        <f t="shared" si="17"/>
        <v>0.17916999201915407</v>
      </c>
      <c r="L63" s="61" t="s">
        <v>227</v>
      </c>
      <c r="M63" s="61">
        <f t="shared" si="18"/>
        <v>120.80028195427785</v>
      </c>
      <c r="N63" s="61">
        <f t="shared" si="19"/>
        <v>78.579208519908093</v>
      </c>
      <c r="O63" s="61">
        <f t="shared" si="20"/>
        <v>69.91600615166216</v>
      </c>
      <c r="P63" s="61">
        <f t="shared" si="21"/>
        <v>111.54876919917245</v>
      </c>
      <c r="Q63" s="34">
        <f t="shared" si="12"/>
        <v>0.53730591373509462</v>
      </c>
    </row>
    <row r="64" spans="1:17" x14ac:dyDescent="0.25">
      <c r="A64" t="s">
        <v>226</v>
      </c>
      <c r="B64">
        <v>57433.275000000001</v>
      </c>
      <c r="C64" s="67">
        <f t="shared" si="13"/>
        <v>7.17326206646276E-2</v>
      </c>
      <c r="D64">
        <v>63.8</v>
      </c>
      <c r="E64" s="31">
        <f t="shared" si="14"/>
        <v>7.17326206646276E-2</v>
      </c>
      <c r="F64">
        <v>60.36</v>
      </c>
      <c r="G64" s="31">
        <f t="shared" si="15"/>
        <v>-7.0383489912213215E-2</v>
      </c>
      <c r="H64" s="17">
        <f t="shared" si="11"/>
        <v>3850.9679999999998</v>
      </c>
      <c r="I64" s="65">
        <f t="shared" si="16"/>
        <v>-6.6579582253685987E-2</v>
      </c>
      <c r="J64">
        <v>60.24</v>
      </c>
      <c r="K64" s="31">
        <f t="shared" si="17"/>
        <v>1.9289340101522834E-2</v>
      </c>
      <c r="L64" s="61" t="s">
        <v>226</v>
      </c>
      <c r="M64" s="61">
        <f t="shared" si="18"/>
        <v>129.46560275588413</v>
      </c>
      <c r="N64" s="61">
        <f t="shared" si="19"/>
        <v>73.048529589737456</v>
      </c>
      <c r="O64" s="61">
        <f t="shared" si="20"/>
        <v>71.264639772861713</v>
      </c>
      <c r="P64" s="61">
        <f t="shared" si="21"/>
        <v>104.12189874497871</v>
      </c>
      <c r="Q64" s="34">
        <f t="shared" si="12"/>
        <v>0.7723231868321232</v>
      </c>
    </row>
    <row r="65" spans="1:17" x14ac:dyDescent="0.25">
      <c r="A65" t="s">
        <v>225</v>
      </c>
      <c r="B65">
        <v>55291.01</v>
      </c>
      <c r="C65" s="67">
        <f t="shared" si="13"/>
        <v>-3.7300066903724338E-2</v>
      </c>
      <c r="D65">
        <v>63.66</v>
      </c>
      <c r="E65" s="31">
        <f t="shared" si="14"/>
        <v>-3.7300066903724338E-2</v>
      </c>
      <c r="F65">
        <v>54.72</v>
      </c>
      <c r="G65" s="31">
        <f t="shared" si="15"/>
        <v>-9.3439363817097387E-2</v>
      </c>
      <c r="H65" s="17">
        <f t="shared" si="11"/>
        <v>3483.4751999999999</v>
      </c>
      <c r="I65" s="65">
        <f t="shared" si="16"/>
        <v>-9.5428681827530171E-2</v>
      </c>
      <c r="J65">
        <v>56.94</v>
      </c>
      <c r="K65" s="31">
        <f t="shared" si="17"/>
        <v>-5.4780876494023967E-2</v>
      </c>
      <c r="L65" s="61" t="s">
        <v>225</v>
      </c>
      <c r="M65" s="61">
        <f t="shared" si="18"/>
        <v>124.63652711135865</v>
      </c>
      <c r="N65" s="61">
        <f t="shared" si="19"/>
        <v>66.222921457097968</v>
      </c>
      <c r="O65" s="61">
        <f t="shared" si="20"/>
        <v>67.360700343073461</v>
      </c>
      <c r="P65" s="61">
        <f t="shared" si="21"/>
        <v>94.185683198365837</v>
      </c>
      <c r="Q65" s="34">
        <f t="shared" si="12"/>
        <v>0.8820753353822286</v>
      </c>
    </row>
    <row r="66" spans="1:17" x14ac:dyDescent="0.25">
      <c r="A66" t="s">
        <v>224</v>
      </c>
      <c r="B66">
        <v>50204.425000000003</v>
      </c>
      <c r="C66" s="67">
        <f t="shared" ref="C66:C93" si="22">B66/B65-1</f>
        <v>-9.1996601255791788E-2</v>
      </c>
      <c r="D66">
        <v>64.010000000000005</v>
      </c>
      <c r="E66" s="31">
        <f t="shared" si="14"/>
        <v>-9.1996601255791788E-2</v>
      </c>
      <c r="F66">
        <v>47.54</v>
      </c>
      <c r="G66" s="31">
        <f t="shared" si="15"/>
        <v>-0.13121345029239762</v>
      </c>
      <c r="H66" s="17">
        <f t="shared" si="11"/>
        <v>3043.0354000000002</v>
      </c>
      <c r="I66" s="65">
        <f t="shared" si="16"/>
        <v>-0.12643689841684524</v>
      </c>
      <c r="J66">
        <v>45.25</v>
      </c>
      <c r="K66" s="31">
        <f t="shared" si="17"/>
        <v>-0.20530382859149976</v>
      </c>
      <c r="L66" s="61" t="s">
        <v>224</v>
      </c>
      <c r="M66" s="61">
        <f t="shared" si="18"/>
        <v>113.17039022478831</v>
      </c>
      <c r="N66" s="61">
        <f t="shared" si="19"/>
        <v>57.533583444269695</v>
      </c>
      <c r="O66" s="61">
        <f t="shared" si="20"/>
        <v>53.531290666035737</v>
      </c>
      <c r="P66" s="61">
        <f t="shared" si="21"/>
        <v>82.277137539492884</v>
      </c>
      <c r="Q66" s="34">
        <f t="shared" si="12"/>
        <v>0.9670318351439311</v>
      </c>
    </row>
    <row r="67" spans="1:17" x14ac:dyDescent="0.25">
      <c r="A67" t="s">
        <v>223</v>
      </c>
      <c r="B67">
        <v>44388.057500000003</v>
      </c>
      <c r="C67" s="67">
        <f t="shared" si="22"/>
        <v>-0.1158536822202425</v>
      </c>
      <c r="D67">
        <v>66.45</v>
      </c>
      <c r="E67" s="31">
        <f t="shared" si="14"/>
        <v>-0.1158536822202425</v>
      </c>
      <c r="F67">
        <v>46.42</v>
      </c>
      <c r="G67" s="31">
        <f t="shared" ref="G67" si="23">F67/F66-1</f>
        <v>-2.3559108119478256E-2</v>
      </c>
      <c r="H67" s="17">
        <f t="shared" ref="H67:H99" si="24">D67*F67</f>
        <v>3084.6090000000004</v>
      </c>
      <c r="I67" s="65">
        <f t="shared" ref="I67:I94" si="25">H67/H66-1</f>
        <v>1.3661885103275484E-2</v>
      </c>
      <c r="J67">
        <v>45.38</v>
      </c>
      <c r="K67" s="31">
        <f t="shared" ref="K67" si="26">J67/J66-1</f>
        <v>2.8729281767956305E-3</v>
      </c>
      <c r="L67" s="61" t="s">
        <v>223</v>
      </c>
      <c r="M67" s="61">
        <f t="shared" ref="M67:M94" si="27">(1+(B67/B66)-1)*M66</f>
        <v>100.05918379894484</v>
      </c>
      <c r="N67" s="61">
        <f t="shared" ref="N67:N94" si="28">(1+(F67/F66)-1)*N66</f>
        <v>56.178143531405112</v>
      </c>
      <c r="O67" s="61">
        <f t="shared" ref="O67:O94" si="29">(1+(J67/J66)-1)*O66</f>
        <v>53.68508221933044</v>
      </c>
      <c r="P67" s="61">
        <f t="shared" si="21"/>
        <v>83.401198339183836</v>
      </c>
      <c r="Q67" s="34">
        <f t="shared" ref="Q67:Q94" si="30">M67/N67-1</f>
        <v>0.78110520407298667</v>
      </c>
    </row>
    <row r="68" spans="1:17" x14ac:dyDescent="0.25">
      <c r="A68" t="s">
        <v>222</v>
      </c>
      <c r="B68">
        <v>46716.474999999999</v>
      </c>
      <c r="C68" s="67">
        <f t="shared" si="22"/>
        <v>5.2455944935188903E-2</v>
      </c>
      <c r="D68">
        <v>65.58</v>
      </c>
      <c r="E68" s="31">
        <f t="shared" ref="E68:E91" si="31">B68/B67-1</f>
        <v>5.2455944935188903E-2</v>
      </c>
      <c r="F68">
        <v>51.66</v>
      </c>
      <c r="G68" s="31">
        <f t="shared" ref="G68:G95" si="32">F68/F67-1</f>
        <v>0.11288237828522174</v>
      </c>
      <c r="H68" s="17">
        <f t="shared" si="24"/>
        <v>3387.8627999999999</v>
      </c>
      <c r="I68" s="65">
        <f t="shared" si="25"/>
        <v>9.8311909224151117E-2</v>
      </c>
      <c r="J68">
        <v>44.75</v>
      </c>
      <c r="K68" s="31">
        <f t="shared" ref="K68:K95" si="33">J68/J67-1</f>
        <v>-1.3882767739092139E-2</v>
      </c>
      <c r="L68" s="61" t="s">
        <v>222</v>
      </c>
      <c r="M68" s="61">
        <f t="shared" si="27"/>
        <v>105.30788283456224</v>
      </c>
      <c r="N68" s="61">
        <f t="shared" si="28"/>
        <v>62.519665980878663</v>
      </c>
      <c r="O68" s="61">
        <f t="shared" si="29"/>
        <v>52.939784691825416</v>
      </c>
      <c r="P68" s="61">
        <f t="shared" ref="P68:P94" si="34">(1+(H68/H67)-1)*P67</f>
        <v>91.600529379491078</v>
      </c>
      <c r="Q68" s="34">
        <f t="shared" si="30"/>
        <v>0.684396120522623</v>
      </c>
    </row>
    <row r="69" spans="1:17" x14ac:dyDescent="0.25">
      <c r="A69" t="s">
        <v>221</v>
      </c>
      <c r="B69">
        <v>46493.61</v>
      </c>
      <c r="C69" s="67">
        <f t="shared" si="22"/>
        <v>-4.7705868218866909E-3</v>
      </c>
      <c r="D69">
        <v>65.38</v>
      </c>
      <c r="E69" s="31">
        <f t="shared" si="31"/>
        <v>-4.7705868218866909E-3</v>
      </c>
      <c r="F69">
        <v>46.09</v>
      </c>
      <c r="G69" s="31">
        <f t="shared" si="32"/>
        <v>-0.10782036391792482</v>
      </c>
      <c r="H69" s="17">
        <f t="shared" si="24"/>
        <v>3013.3642</v>
      </c>
      <c r="I69" s="65">
        <f t="shared" si="25"/>
        <v>-0.11054125332348164</v>
      </c>
      <c r="J69">
        <v>46.12</v>
      </c>
      <c r="K69" s="31">
        <f t="shared" si="33"/>
        <v>3.0614525139664783E-2</v>
      </c>
      <c r="L69" s="61" t="s">
        <v>221</v>
      </c>
      <c r="M69" s="61">
        <f t="shared" si="27"/>
        <v>104.80550243647087</v>
      </c>
      <c r="N69" s="61">
        <f t="shared" si="28"/>
        <v>55.778772842793217</v>
      </c>
      <c r="O69" s="61">
        <f t="shared" si="29"/>
        <v>54.560511061161755</v>
      </c>
      <c r="P69" s="61">
        <f t="shared" si="34"/>
        <v>81.474892056787724</v>
      </c>
      <c r="Q69" s="34">
        <f t="shared" si="30"/>
        <v>0.87894959130518147</v>
      </c>
    </row>
    <row r="70" spans="1:17" x14ac:dyDescent="0.25">
      <c r="A70" s="62" t="s">
        <v>219</v>
      </c>
      <c r="B70" s="62">
        <v>46406.119999999995</v>
      </c>
      <c r="C70" s="67">
        <f t="shared" si="22"/>
        <v>-1.8817639671345754E-3</v>
      </c>
      <c r="D70">
        <v>66.52</v>
      </c>
      <c r="E70" s="31">
        <f t="shared" si="31"/>
        <v>-1.8817639671345754E-3</v>
      </c>
      <c r="F70" s="62">
        <v>39.69</v>
      </c>
      <c r="G70" s="31">
        <f t="shared" si="32"/>
        <v>-0.13885875461054475</v>
      </c>
      <c r="H70" s="17">
        <f t="shared" si="24"/>
        <v>2640.1787999999997</v>
      </c>
      <c r="I70" s="65">
        <f t="shared" si="25"/>
        <v>-0.12384344381605128</v>
      </c>
      <c r="J70" s="62">
        <v>40.58</v>
      </c>
      <c r="K70" s="31">
        <f t="shared" si="33"/>
        <v>-0.12012142237640933</v>
      </c>
      <c r="L70" s="63" t="s">
        <v>219</v>
      </c>
      <c r="M70" s="63">
        <f t="shared" si="27"/>
        <v>104.6082832184285</v>
      </c>
      <c r="N70" s="63">
        <f t="shared" si="28"/>
        <v>48.03340191213848</v>
      </c>
      <c r="O70" s="63">
        <f t="shared" si="29"/>
        <v>48.006624866911189</v>
      </c>
      <c r="P70" s="61">
        <f t="shared" si="34"/>
        <v>71.384760839934074</v>
      </c>
      <c r="Q70" s="64">
        <f t="shared" si="30"/>
        <v>1.177823744605377</v>
      </c>
    </row>
    <row r="71" spans="1:17" x14ac:dyDescent="0.25">
      <c r="A71" t="s">
        <v>218</v>
      </c>
      <c r="B71">
        <v>41922.229999999996</v>
      </c>
      <c r="C71" s="67">
        <f t="shared" si="22"/>
        <v>-9.6622816128562383E-2</v>
      </c>
      <c r="D71">
        <v>66.180000000000007</v>
      </c>
      <c r="E71" s="31">
        <f t="shared" si="31"/>
        <v>-9.6622816128562383E-2</v>
      </c>
      <c r="F71">
        <v>33.57</v>
      </c>
      <c r="G71" s="31">
        <f t="shared" si="32"/>
        <v>-0.15419501133786839</v>
      </c>
      <c r="H71" s="17">
        <f t="shared" si="24"/>
        <v>2221.6626000000001</v>
      </c>
      <c r="I71" s="65">
        <f t="shared" si="25"/>
        <v>-0.1585181276359009</v>
      </c>
      <c r="J71">
        <v>37.130000000000003</v>
      </c>
      <c r="K71" s="31">
        <f t="shared" si="33"/>
        <v>-8.5017249876786494E-2</v>
      </c>
      <c r="L71" s="61" t="s">
        <v>218</v>
      </c>
      <c r="M71" s="61">
        <f t="shared" si="27"/>
        <v>94.500736303489688</v>
      </c>
      <c r="N71" s="61">
        <f t="shared" si="28"/>
        <v>40.626890959699892</v>
      </c>
      <c r="O71" s="61">
        <f t="shared" si="29"/>
        <v>43.925233644859851</v>
      </c>
      <c r="P71" s="61">
        <f t="shared" si="34"/>
        <v>60.068982209851143</v>
      </c>
      <c r="Q71" s="34">
        <f t="shared" si="30"/>
        <v>1.3260636999575062</v>
      </c>
    </row>
    <row r="72" spans="1:17" x14ac:dyDescent="0.25">
      <c r="A72" t="s">
        <v>217</v>
      </c>
      <c r="B72">
        <v>37121.792499999996</v>
      </c>
      <c r="C72" s="67">
        <f t="shared" si="22"/>
        <v>-0.11450816189883029</v>
      </c>
      <c r="D72">
        <v>67.77</v>
      </c>
      <c r="E72" s="31">
        <f t="shared" si="31"/>
        <v>-0.11450816189883029</v>
      </c>
      <c r="F72">
        <v>32.76</v>
      </c>
      <c r="G72" s="31">
        <f t="shared" si="32"/>
        <v>-2.4128686327077764E-2</v>
      </c>
      <c r="H72" s="17">
        <f t="shared" si="24"/>
        <v>2220.1451999999999</v>
      </c>
      <c r="I72" s="65">
        <f t="shared" si="25"/>
        <v>-6.8300200039383974E-4</v>
      </c>
      <c r="J72">
        <v>31.62</v>
      </c>
      <c r="K72" s="31">
        <f t="shared" si="33"/>
        <v>-0.14839752221922975</v>
      </c>
      <c r="L72" s="61" t="s">
        <v>217</v>
      </c>
      <c r="M72" s="61">
        <f t="shared" si="27"/>
        <v>83.679630691291038</v>
      </c>
      <c r="N72" s="61">
        <f t="shared" si="28"/>
        <v>39.646617451288904</v>
      </c>
      <c r="O72" s="61">
        <f t="shared" si="29"/>
        <v>37.406837809061905</v>
      </c>
      <c r="P72" s="61">
        <f t="shared" si="34"/>
        <v>60.027954974840192</v>
      </c>
      <c r="Q72" s="34">
        <f t="shared" si="30"/>
        <v>1.1106373272348518</v>
      </c>
    </row>
    <row r="73" spans="1:17" x14ac:dyDescent="0.25">
      <c r="A73" t="s">
        <v>216</v>
      </c>
      <c r="B73">
        <v>41439.264999999999</v>
      </c>
      <c r="C73" s="67">
        <f t="shared" si="22"/>
        <v>0.11630560404646428</v>
      </c>
      <c r="D73">
        <v>68.27</v>
      </c>
      <c r="E73" s="31">
        <f t="shared" si="31"/>
        <v>0.11630560404646428</v>
      </c>
      <c r="F73">
        <v>37.61</v>
      </c>
      <c r="G73" s="31">
        <f t="shared" si="32"/>
        <v>0.14804639804639819</v>
      </c>
      <c r="H73" s="17">
        <f t="shared" si="24"/>
        <v>2567.6346999999996</v>
      </c>
      <c r="I73" s="65">
        <f t="shared" si="25"/>
        <v>0.15651656477243003</v>
      </c>
      <c r="J73">
        <v>34.39</v>
      </c>
      <c r="K73" s="31">
        <f t="shared" si="33"/>
        <v>8.7602783048703392E-2</v>
      </c>
      <c r="L73" s="61" t="s">
        <v>216</v>
      </c>
      <c r="M73" s="61">
        <f t="shared" si="27"/>
        <v>93.412040685226671</v>
      </c>
      <c r="N73" s="61">
        <f t="shared" si="28"/>
        <v>45.516156359675705</v>
      </c>
      <c r="O73" s="61">
        <f t="shared" si="29"/>
        <v>40.683780906187195</v>
      </c>
      <c r="P73" s="61">
        <f t="shared" si="34"/>
        <v>69.423324277816278</v>
      </c>
      <c r="Q73" s="34">
        <f t="shared" si="30"/>
        <v>1.0522831485828963</v>
      </c>
    </row>
    <row r="74" spans="1:17" x14ac:dyDescent="0.25">
      <c r="A74" t="s">
        <v>214</v>
      </c>
      <c r="B74">
        <v>43960.289999999994</v>
      </c>
      <c r="C74" s="67">
        <f t="shared" si="22"/>
        <v>6.0836624394761785E-2</v>
      </c>
      <c r="D74">
        <v>66.3</v>
      </c>
      <c r="E74" s="31">
        <f t="shared" si="31"/>
        <v>6.0836624394761785E-2</v>
      </c>
      <c r="F74">
        <v>37.770000000000003</v>
      </c>
      <c r="G74" s="31">
        <f t="shared" si="32"/>
        <v>4.2541877160331421E-3</v>
      </c>
      <c r="H74" s="17">
        <f t="shared" si="24"/>
        <v>2504.1510000000003</v>
      </c>
      <c r="I74" s="65">
        <f t="shared" si="25"/>
        <v>-2.4724584069532707E-2</v>
      </c>
      <c r="J74">
        <v>35.36</v>
      </c>
      <c r="K74" s="31">
        <f t="shared" si="33"/>
        <v>2.8205873800523307E-2</v>
      </c>
      <c r="L74" s="61" t="s">
        <v>214</v>
      </c>
      <c r="M74" s="61">
        <f t="shared" si="27"/>
        <v>99.094913918342016</v>
      </c>
      <c r="N74" s="61">
        <f t="shared" si="28"/>
        <v>45.709790632942088</v>
      </c>
      <c r="O74" s="61">
        <f t="shared" si="29"/>
        <v>41.831302496155253</v>
      </c>
      <c r="P74" s="61">
        <f t="shared" si="34"/>
        <v>67.706861460322983</v>
      </c>
      <c r="Q74" s="34">
        <f t="shared" si="30"/>
        <v>1.1679144127806698</v>
      </c>
    </row>
    <row r="75" spans="1:17" x14ac:dyDescent="0.25">
      <c r="A75" t="s">
        <v>211</v>
      </c>
      <c r="B75">
        <v>44362.042500000003</v>
      </c>
      <c r="C75" s="67">
        <f t="shared" si="22"/>
        <v>9.1389865717448338E-3</v>
      </c>
      <c r="D75">
        <v>66.41</v>
      </c>
      <c r="E75" s="31">
        <f t="shared" si="31"/>
        <v>9.1389865717448338E-3</v>
      </c>
      <c r="F75">
        <v>44.39</v>
      </c>
      <c r="G75" s="31">
        <f t="shared" si="32"/>
        <v>0.17527137940164139</v>
      </c>
      <c r="H75" s="17">
        <f t="shared" si="24"/>
        <v>2947.9398999999999</v>
      </c>
      <c r="I75" s="65">
        <f t="shared" si="25"/>
        <v>0.17722130175057305</v>
      </c>
      <c r="J75">
        <v>44.75</v>
      </c>
      <c r="K75" s="31">
        <f t="shared" si="33"/>
        <v>0.26555429864253388</v>
      </c>
      <c r="L75" s="61" t="s">
        <v>211</v>
      </c>
      <c r="M75" s="61">
        <f t="shared" si="27"/>
        <v>100.00054100596995</v>
      </c>
      <c r="N75" s="61">
        <f t="shared" si="28"/>
        <v>53.721408689338062</v>
      </c>
      <c r="O75" s="61">
        <f t="shared" si="29"/>
        <v>52.93978469182543</v>
      </c>
      <c r="P75" s="61">
        <f t="shared" si="34"/>
        <v>79.705959585767147</v>
      </c>
      <c r="Q75" s="34">
        <f t="shared" si="30"/>
        <v>0.86146535330553942</v>
      </c>
    </row>
    <row r="76" spans="1:17" x14ac:dyDescent="0.25">
      <c r="A76" t="s">
        <v>210</v>
      </c>
      <c r="B76">
        <v>48331.797500000008</v>
      </c>
      <c r="C76" s="67">
        <f t="shared" si="22"/>
        <v>8.9485397341657613E-2</v>
      </c>
      <c r="D76">
        <v>67.239999999999995</v>
      </c>
      <c r="E76" s="31">
        <f t="shared" si="31"/>
        <v>8.9485397341657613E-2</v>
      </c>
      <c r="F76">
        <v>48.94</v>
      </c>
      <c r="G76" s="31">
        <f t="shared" si="32"/>
        <v>0.10250056318990763</v>
      </c>
      <c r="H76" s="17">
        <f t="shared" si="24"/>
        <v>3290.7255999999998</v>
      </c>
      <c r="I76" s="65">
        <f t="shared" si="25"/>
        <v>0.11627974505179028</v>
      </c>
      <c r="J76">
        <v>49.07</v>
      </c>
      <c r="K76" s="31">
        <f t="shared" si="33"/>
        <v>9.6536312849162087E-2</v>
      </c>
      <c r="L76" s="61" t="s">
        <v>210</v>
      </c>
      <c r="M76" s="61">
        <f t="shared" si="27"/>
        <v>108.94912915226989</v>
      </c>
      <c r="N76" s="61">
        <f t="shared" si="28"/>
        <v>59.227883335350413</v>
      </c>
      <c r="O76" s="61">
        <f t="shared" si="29"/>
        <v>58.050396309002771</v>
      </c>
      <c r="P76" s="61">
        <f t="shared" si="34"/>
        <v>88.974148245508474</v>
      </c>
      <c r="Q76" s="34">
        <f t="shared" si="30"/>
        <v>0.83949050712138384</v>
      </c>
    </row>
    <row r="77" spans="1:17" x14ac:dyDescent="0.25">
      <c r="A77" t="s">
        <v>209</v>
      </c>
      <c r="B77">
        <v>50958.697500000002</v>
      </c>
      <c r="C77" s="67">
        <f t="shared" si="22"/>
        <v>5.4351382234438805E-2</v>
      </c>
      <c r="D77">
        <v>67.5</v>
      </c>
      <c r="E77" s="31">
        <f t="shared" si="31"/>
        <v>5.4351382234438805E-2</v>
      </c>
      <c r="F77">
        <v>45.7</v>
      </c>
      <c r="G77" s="31">
        <f t="shared" si="32"/>
        <v>-6.6203514507560124E-2</v>
      </c>
      <c r="H77" s="17">
        <f t="shared" si="24"/>
        <v>3084.75</v>
      </c>
      <c r="I77" s="65">
        <f t="shared" si="25"/>
        <v>-6.259276069691122E-2</v>
      </c>
      <c r="J77">
        <v>49.02</v>
      </c>
      <c r="K77" s="31">
        <f t="shared" si="33"/>
        <v>-1.0189525168126101E-3</v>
      </c>
      <c r="L77" s="61" t="s">
        <v>209</v>
      </c>
      <c r="M77" s="61">
        <f t="shared" si="27"/>
        <v>114.87066491493415</v>
      </c>
      <c r="N77" s="61">
        <f t="shared" si="28"/>
        <v>55.306789301706466</v>
      </c>
      <c r="O77" s="61">
        <f t="shared" si="29"/>
        <v>57.991245711581733</v>
      </c>
      <c r="P77" s="61">
        <f t="shared" si="34"/>
        <v>83.405010676165858</v>
      </c>
      <c r="Q77" s="34">
        <f t="shared" si="30"/>
        <v>1.0769722192387303</v>
      </c>
    </row>
    <row r="78" spans="1:17" x14ac:dyDescent="0.25">
      <c r="A78" t="s">
        <v>208</v>
      </c>
      <c r="B78">
        <v>48882.4375</v>
      </c>
      <c r="C78" s="67">
        <f t="shared" si="22"/>
        <v>-4.0743977021783229E-2</v>
      </c>
      <c r="D78">
        <v>66.8</v>
      </c>
      <c r="E78" s="31">
        <f t="shared" si="31"/>
        <v>-4.0743977021783229E-2</v>
      </c>
      <c r="F78">
        <v>40.450000000000003</v>
      </c>
      <c r="G78" s="31">
        <f t="shared" si="32"/>
        <v>-0.11487964989059085</v>
      </c>
      <c r="H78" s="17">
        <f t="shared" si="24"/>
        <v>2702.06</v>
      </c>
      <c r="I78" s="65">
        <f t="shared" si="25"/>
        <v>-0.12405867574357732</v>
      </c>
      <c r="J78">
        <v>40.049999999999997</v>
      </c>
      <c r="K78" s="31">
        <f t="shared" si="33"/>
        <v>-0.18298653610771121</v>
      </c>
      <c r="L78" s="61" t="s">
        <v>208</v>
      </c>
      <c r="M78" s="61">
        <f t="shared" si="27"/>
        <v>110.19037718316312</v>
      </c>
      <c r="N78" s="61">
        <f t="shared" si="28"/>
        <v>48.95316471015375</v>
      </c>
      <c r="O78" s="61">
        <f t="shared" si="29"/>
        <v>47.379628534248226</v>
      </c>
      <c r="P78" s="61">
        <f t="shared" si="34"/>
        <v>73.0578955013018</v>
      </c>
      <c r="Q78" s="34">
        <f t="shared" si="30"/>
        <v>1.250934701271881</v>
      </c>
    </row>
    <row r="79" spans="1:17" x14ac:dyDescent="0.25">
      <c r="A79" t="s">
        <v>207</v>
      </c>
      <c r="B79">
        <v>47050.97</v>
      </c>
      <c r="C79" s="67">
        <f t="shared" si="22"/>
        <v>-3.7466779351991164E-2</v>
      </c>
      <c r="D79">
        <v>66.849999999999994</v>
      </c>
      <c r="E79" s="31">
        <f t="shared" si="31"/>
        <v>-3.7466779351991164E-2</v>
      </c>
      <c r="F79">
        <v>46.72</v>
      </c>
      <c r="G79" s="31">
        <f t="shared" si="32"/>
        <v>0.15500618046971559</v>
      </c>
      <c r="H79" s="17">
        <f t="shared" si="24"/>
        <v>3123.2319999999995</v>
      </c>
      <c r="I79" s="65">
        <f t="shared" si="25"/>
        <v>0.15587070605389952</v>
      </c>
      <c r="J79">
        <v>43.17</v>
      </c>
      <c r="K79" s="31">
        <f t="shared" si="33"/>
        <v>7.7902621722846455E-2</v>
      </c>
      <c r="L79" s="61" t="s">
        <v>207</v>
      </c>
      <c r="M79" s="61">
        <f t="shared" si="27"/>
        <v>106.06189863452887</v>
      </c>
      <c r="N79" s="61">
        <f t="shared" si="28"/>
        <v>56.541207793779563</v>
      </c>
      <c r="O79" s="61">
        <f t="shared" si="29"/>
        <v>51.070625813320746</v>
      </c>
      <c r="P79" s="61">
        <f t="shared" si="34"/>
        <v>84.445481255901726</v>
      </c>
      <c r="Q79" s="34">
        <f t="shared" si="30"/>
        <v>0.87583362246813157</v>
      </c>
    </row>
    <row r="80" spans="1:17" x14ac:dyDescent="0.25">
      <c r="A80" t="s">
        <v>206</v>
      </c>
      <c r="B80">
        <v>48442.307499999995</v>
      </c>
      <c r="C80" s="67">
        <f t="shared" si="22"/>
        <v>2.9570856881377727E-2</v>
      </c>
      <c r="D80">
        <v>66.540000000000006</v>
      </c>
      <c r="E80" s="31">
        <f t="shared" si="31"/>
        <v>2.9570856881377727E-2</v>
      </c>
      <c r="F80">
        <v>49.57</v>
      </c>
      <c r="G80" s="31">
        <f t="shared" si="32"/>
        <v>6.1001712328767166E-2</v>
      </c>
      <c r="H80" s="17">
        <f t="shared" si="24"/>
        <v>3298.3878000000004</v>
      </c>
      <c r="I80" s="65">
        <f t="shared" si="25"/>
        <v>5.6081584717369903E-2</v>
      </c>
      <c r="J80">
        <v>48.8</v>
      </c>
      <c r="K80" s="31">
        <f t="shared" si="33"/>
        <v>0.13041463979615453</v>
      </c>
      <c r="L80" s="61" t="s">
        <v>206</v>
      </c>
      <c r="M80" s="61">
        <f t="shared" si="27"/>
        <v>109.19823985961774</v>
      </c>
      <c r="N80" s="61">
        <f t="shared" si="28"/>
        <v>59.990318286336752</v>
      </c>
      <c r="O80" s="61">
        <f t="shared" si="29"/>
        <v>57.730983082929171</v>
      </c>
      <c r="P80" s="61">
        <f t="shared" si="34"/>
        <v>89.181317666953646</v>
      </c>
      <c r="Q80" s="34">
        <f t="shared" si="30"/>
        <v>0.82026438563651483</v>
      </c>
    </row>
    <row r="81" spans="1:17" x14ac:dyDescent="0.25">
      <c r="A81" t="s">
        <v>205</v>
      </c>
      <c r="B81">
        <v>51901.202499999999</v>
      </c>
      <c r="C81" s="67">
        <f t="shared" si="22"/>
        <v>7.1402358362057994E-2</v>
      </c>
      <c r="D81">
        <v>66.72</v>
      </c>
      <c r="E81" s="31">
        <f t="shared" si="31"/>
        <v>7.1402358362057994E-2</v>
      </c>
      <c r="F81">
        <v>43.06</v>
      </c>
      <c r="G81" s="31">
        <f t="shared" si="32"/>
        <v>-0.13132943312487388</v>
      </c>
      <c r="H81" s="17">
        <f t="shared" si="24"/>
        <v>2872.9632000000001</v>
      </c>
      <c r="I81" s="65">
        <f t="shared" si="25"/>
        <v>-0.12897955783125326</v>
      </c>
      <c r="J81">
        <v>46.66</v>
      </c>
      <c r="K81" s="31">
        <f t="shared" si="33"/>
        <v>-4.3852459016393452E-2</v>
      </c>
      <c r="L81" s="61" t="s">
        <v>205</v>
      </c>
      <c r="M81" s="61">
        <f t="shared" si="27"/>
        <v>116.99525171458016</v>
      </c>
      <c r="N81" s="61">
        <f t="shared" si="28"/>
        <v>52.1118237928114</v>
      </c>
      <c r="O81" s="61">
        <f t="shared" si="29"/>
        <v>55.199337513308912</v>
      </c>
      <c r="P81" s="61">
        <f t="shared" si="34"/>
        <v>77.678750747461422</v>
      </c>
      <c r="Q81" s="34">
        <f t="shared" si="30"/>
        <v>1.2450807359906517</v>
      </c>
    </row>
    <row r="82" spans="1:17" x14ac:dyDescent="0.25">
      <c r="A82" t="s">
        <v>204</v>
      </c>
      <c r="B82">
        <v>49998.025000000001</v>
      </c>
      <c r="C82" s="67">
        <f t="shared" si="22"/>
        <v>-3.6669237095229068E-2</v>
      </c>
      <c r="D82">
        <v>68.52</v>
      </c>
      <c r="E82" s="31">
        <f t="shared" si="31"/>
        <v>-3.6669237095229068E-2</v>
      </c>
      <c r="F82">
        <v>52.31</v>
      </c>
      <c r="G82" s="31">
        <f t="shared" si="32"/>
        <v>0.21481653506734788</v>
      </c>
      <c r="H82" s="17">
        <f t="shared" si="24"/>
        <v>3584.2811999999999</v>
      </c>
      <c r="I82" s="65">
        <f t="shared" si="25"/>
        <v>0.24759036245225818</v>
      </c>
      <c r="J82">
        <v>51.08</v>
      </c>
      <c r="K82" s="31">
        <f t="shared" si="33"/>
        <v>9.4727818259751517E-2</v>
      </c>
      <c r="L82" s="61" t="s">
        <v>204</v>
      </c>
      <c r="M82" s="61">
        <f t="shared" si="27"/>
        <v>112.70512509044222</v>
      </c>
      <c r="N82" s="61">
        <f t="shared" si="28"/>
        <v>63.306305216023311</v>
      </c>
      <c r="O82" s="61">
        <f t="shared" si="29"/>
        <v>60.428250325328307</v>
      </c>
      <c r="P82" s="61">
        <f t="shared" si="34"/>
        <v>96.91126079986401</v>
      </c>
      <c r="Q82" s="34">
        <f t="shared" si="30"/>
        <v>0.78031437320268204</v>
      </c>
    </row>
    <row r="83" spans="1:17" x14ac:dyDescent="0.25">
      <c r="A83" t="s">
        <v>203</v>
      </c>
      <c r="B83">
        <v>54213.917499999996</v>
      </c>
      <c r="C83" s="67">
        <f t="shared" si="22"/>
        <v>8.4321180686637076E-2</v>
      </c>
      <c r="D83">
        <v>67.95</v>
      </c>
      <c r="E83" s="31">
        <f t="shared" si="31"/>
        <v>8.4321180686637076E-2</v>
      </c>
      <c r="F83">
        <v>55.9</v>
      </c>
      <c r="G83" s="31">
        <f t="shared" si="32"/>
        <v>6.8629325176830402E-2</v>
      </c>
      <c r="H83" s="17">
        <f t="shared" si="24"/>
        <v>3798.4050000000002</v>
      </c>
      <c r="I83" s="65">
        <f t="shared" si="25"/>
        <v>5.9739676674921638E-2</v>
      </c>
      <c r="J83">
        <v>52.36</v>
      </c>
      <c r="K83" s="31">
        <f t="shared" si="33"/>
        <v>2.5058731401722767E-2</v>
      </c>
      <c r="L83" s="61" t="s">
        <v>203</v>
      </c>
      <c r="M83" s="61">
        <f t="shared" si="27"/>
        <v>122.20855430750346</v>
      </c>
      <c r="N83" s="61">
        <f t="shared" si="28"/>
        <v>67.650974222437455</v>
      </c>
      <c r="O83" s="61">
        <f t="shared" si="29"/>
        <v>61.942505619306772</v>
      </c>
      <c r="P83" s="61">
        <f t="shared" si="34"/>
        <v>102.70070818620691</v>
      </c>
      <c r="Q83" s="34">
        <f t="shared" si="30"/>
        <v>0.80645668021985673</v>
      </c>
    </row>
    <row r="84" spans="1:17" x14ac:dyDescent="0.25">
      <c r="A84" t="s">
        <v>202</v>
      </c>
      <c r="B84">
        <v>55817.392500000002</v>
      </c>
      <c r="C84" s="67">
        <f t="shared" si="22"/>
        <v>2.9576814846483002E-2</v>
      </c>
      <c r="D84">
        <v>67.62</v>
      </c>
      <c r="E84" s="31">
        <f t="shared" si="31"/>
        <v>2.9576814846483002E-2</v>
      </c>
      <c r="F84">
        <v>55.92</v>
      </c>
      <c r="G84" s="31">
        <f t="shared" si="32"/>
        <v>3.5778175313061489E-4</v>
      </c>
      <c r="H84" s="17">
        <f t="shared" si="24"/>
        <v>3781.3104000000003</v>
      </c>
      <c r="I84" s="65">
        <f t="shared" si="25"/>
        <v>-4.5004679595777031E-3</v>
      </c>
      <c r="J84">
        <v>53.9</v>
      </c>
      <c r="K84" s="31">
        <f t="shared" si="33"/>
        <v>2.9411764705882248E-2</v>
      </c>
      <c r="L84" s="61" t="s">
        <v>202</v>
      </c>
      <c r="M84" s="61">
        <f t="shared" si="27"/>
        <v>125.82309409091287</v>
      </c>
      <c r="N84" s="61">
        <f t="shared" si="28"/>
        <v>67.675178506595771</v>
      </c>
      <c r="O84" s="61">
        <f t="shared" si="29"/>
        <v>63.764344019874613</v>
      </c>
      <c r="P84" s="61">
        <f t="shared" si="34"/>
        <v>102.23850693958894</v>
      </c>
      <c r="Q84" s="34">
        <f t="shared" si="30"/>
        <v>0.85922071973034964</v>
      </c>
    </row>
    <row r="85" spans="1:17" x14ac:dyDescent="0.25">
      <c r="A85" t="s">
        <v>201</v>
      </c>
      <c r="B85">
        <v>56104.899999999994</v>
      </c>
      <c r="C85" s="67">
        <f t="shared" si="22"/>
        <v>5.1508586682904589E-3</v>
      </c>
      <c r="D85">
        <v>66.727500000000006</v>
      </c>
      <c r="E85" s="31">
        <f t="shared" si="31"/>
        <v>5.1508586682904589E-3</v>
      </c>
      <c r="F85">
        <v>54.16</v>
      </c>
      <c r="G85" s="31">
        <f t="shared" si="32"/>
        <v>-3.1473533619456484E-2</v>
      </c>
      <c r="H85" s="17">
        <f t="shared" si="24"/>
        <v>3613.9614000000001</v>
      </c>
      <c r="I85" s="65">
        <f t="shared" si="25"/>
        <v>-4.4256879837212049E-2</v>
      </c>
      <c r="J85">
        <v>53.82</v>
      </c>
      <c r="K85" s="31">
        <f t="shared" si="33"/>
        <v>-1.4842300556585641E-3</v>
      </c>
      <c r="L85" s="61" t="s">
        <v>201</v>
      </c>
      <c r="M85" s="61">
        <f t="shared" si="27"/>
        <v>126.47119106578221</v>
      </c>
      <c r="N85" s="61">
        <f t="shared" si="28"/>
        <v>65.545201500665712</v>
      </c>
      <c r="O85" s="61">
        <f t="shared" si="29"/>
        <v>63.669703064000963</v>
      </c>
      <c r="P85" s="61">
        <f t="shared" si="34"/>
        <v>97.713749623227585</v>
      </c>
      <c r="Q85" s="34">
        <f t="shared" si="30"/>
        <v>0.92952631421077703</v>
      </c>
    </row>
    <row r="86" spans="1:17" x14ac:dyDescent="0.25">
      <c r="A86" t="s">
        <v>200</v>
      </c>
      <c r="B86">
        <v>53242.5</v>
      </c>
      <c r="C86" s="67">
        <f t="shared" si="22"/>
        <v>-5.1018716725277025E-2</v>
      </c>
      <c r="D86">
        <v>64.805000000000007</v>
      </c>
      <c r="E86" s="31">
        <f t="shared" si="31"/>
        <v>-5.1018716725277025E-2</v>
      </c>
      <c r="F86">
        <v>53.08</v>
      </c>
      <c r="G86" s="31">
        <f t="shared" si="32"/>
        <v>-1.9940915805022108E-2</v>
      </c>
      <c r="H86" s="17">
        <f t="shared" si="24"/>
        <v>3439.8494000000001</v>
      </c>
      <c r="I86" s="65">
        <f t="shared" si="25"/>
        <v>-4.817760366782009E-2</v>
      </c>
      <c r="J86">
        <v>50.25</v>
      </c>
      <c r="K86" s="31">
        <f t="shared" si="33"/>
        <v>-6.6332218506131579E-2</v>
      </c>
      <c r="L86" s="61" t="s">
        <v>200</v>
      </c>
      <c r="M86" s="61">
        <f t="shared" si="27"/>
        <v>120.01879319488869</v>
      </c>
      <c r="N86" s="61">
        <f t="shared" si="28"/>
        <v>64.238170156117732</v>
      </c>
      <c r="O86" s="61">
        <f t="shared" si="29"/>
        <v>59.446350408139146</v>
      </c>
      <c r="P86" s="61">
        <f t="shared" si="34"/>
        <v>93.00613532098312</v>
      </c>
      <c r="Q86" s="34">
        <f t="shared" si="30"/>
        <v>0.86834078404175519</v>
      </c>
    </row>
    <row r="87" spans="1:17" x14ac:dyDescent="0.25">
      <c r="A87" t="s">
        <v>199</v>
      </c>
      <c r="B87">
        <v>53435.25</v>
      </c>
      <c r="C87" s="67">
        <f t="shared" si="22"/>
        <v>3.6202282011550402E-3</v>
      </c>
      <c r="D87">
        <v>64.185000000000002</v>
      </c>
      <c r="E87" s="31">
        <f t="shared" si="31"/>
        <v>3.6202282011550402E-3</v>
      </c>
      <c r="F87">
        <v>49.31</v>
      </c>
      <c r="G87" s="31">
        <f t="shared" si="32"/>
        <v>-7.1024868123586993E-2</v>
      </c>
      <c r="H87" s="17">
        <f t="shared" si="24"/>
        <v>3164.9623500000002</v>
      </c>
      <c r="I87" s="65">
        <f t="shared" si="25"/>
        <v>-7.9912524658782957E-2</v>
      </c>
      <c r="J87">
        <v>48.83</v>
      </c>
      <c r="K87" s="31">
        <f t="shared" si="33"/>
        <v>-2.8258706467661709E-2</v>
      </c>
      <c r="L87" s="61" t="s">
        <v>199</v>
      </c>
      <c r="M87" s="61">
        <f t="shared" si="27"/>
        <v>120.45328861468141</v>
      </c>
      <c r="N87" s="61">
        <f t="shared" si="28"/>
        <v>59.675662592278925</v>
      </c>
      <c r="O87" s="61">
        <f t="shared" si="29"/>
        <v>57.766473441381777</v>
      </c>
      <c r="P87" s="61">
        <f t="shared" si="34"/>
        <v>85.573780238726968</v>
      </c>
      <c r="Q87" s="34">
        <f t="shared" si="30"/>
        <v>1.018465876745307</v>
      </c>
    </row>
    <row r="88" spans="1:17" x14ac:dyDescent="0.25">
      <c r="A88" t="s">
        <v>198</v>
      </c>
      <c r="B88">
        <v>51442.25</v>
      </c>
      <c r="C88" s="67">
        <f t="shared" si="22"/>
        <v>-3.7297476852826583E-2</v>
      </c>
      <c r="D88">
        <v>64.484999999999999</v>
      </c>
      <c r="E88" s="31">
        <f t="shared" si="31"/>
        <v>-3.7297476852826583E-2</v>
      </c>
      <c r="F88">
        <v>50.41</v>
      </c>
      <c r="G88" s="31">
        <f t="shared" si="32"/>
        <v>2.2307848306631461E-2</v>
      </c>
      <c r="H88" s="17">
        <f t="shared" si="24"/>
        <v>3250.6888499999995</v>
      </c>
      <c r="I88" s="65">
        <f t="shared" si="25"/>
        <v>2.7086104199627981E-2</v>
      </c>
      <c r="J88">
        <v>48.32</v>
      </c>
      <c r="K88" s="31">
        <f t="shared" si="33"/>
        <v>-1.0444398935080867E-2</v>
      </c>
      <c r="L88" s="61" t="s">
        <v>198</v>
      </c>
      <c r="M88" s="61">
        <f t="shared" si="27"/>
        <v>115.96068487072849</v>
      </c>
      <c r="N88" s="61">
        <f t="shared" si="28"/>
        <v>61.006898220985221</v>
      </c>
      <c r="O88" s="61">
        <f t="shared" si="29"/>
        <v>57.163137347687233</v>
      </c>
      <c r="P88" s="61">
        <f t="shared" si="34"/>
        <v>87.891640567029214</v>
      </c>
      <c r="Q88" s="34">
        <f t="shared" si="30"/>
        <v>0.90077988313197332</v>
      </c>
    </row>
    <row r="89" spans="1:17" x14ac:dyDescent="0.25">
      <c r="A89" t="s">
        <v>197</v>
      </c>
      <c r="B89">
        <v>48646.25</v>
      </c>
      <c r="C89" s="67">
        <f t="shared" si="22"/>
        <v>-5.4352210488460395E-2</v>
      </c>
      <c r="D89">
        <v>64.685000000000002</v>
      </c>
      <c r="E89" s="31">
        <f t="shared" si="31"/>
        <v>-5.4352210488460395E-2</v>
      </c>
      <c r="F89">
        <v>49.13</v>
      </c>
      <c r="G89" s="31">
        <f t="shared" si="32"/>
        <v>-2.5391787343780892E-2</v>
      </c>
      <c r="H89" s="17">
        <f t="shared" si="24"/>
        <v>3177.9740500000003</v>
      </c>
      <c r="I89" s="65">
        <f t="shared" si="25"/>
        <v>-2.2369043410598755E-2</v>
      </c>
      <c r="J89">
        <v>46.02</v>
      </c>
      <c r="K89" s="31">
        <f t="shared" si="33"/>
        <v>-4.759933774834435E-2</v>
      </c>
      <c r="L89" s="61" t="s">
        <v>197</v>
      </c>
      <c r="M89" s="61">
        <f t="shared" si="27"/>
        <v>109.65796531824863</v>
      </c>
      <c r="N89" s="61">
        <f t="shared" si="28"/>
        <v>59.457824034854283</v>
      </c>
      <c r="O89" s="61">
        <f t="shared" si="29"/>
        <v>54.442209866319672</v>
      </c>
      <c r="P89" s="61">
        <f t="shared" si="34"/>
        <v>85.925588643756598</v>
      </c>
      <c r="Q89" s="34">
        <f t="shared" si="30"/>
        <v>0.84429832571684638</v>
      </c>
    </row>
    <row r="90" spans="1:17" x14ac:dyDescent="0.25">
      <c r="A90" t="s">
        <v>195</v>
      </c>
      <c r="B90">
        <v>50259.333333333336</v>
      </c>
      <c r="C90" s="67">
        <f t="shared" si="22"/>
        <v>3.3159459019622917E-2</v>
      </c>
      <c r="D90">
        <v>64.105000000000004</v>
      </c>
      <c r="E90" s="31">
        <f t="shared" si="31"/>
        <v>3.3159459019622917E-2</v>
      </c>
      <c r="F90">
        <v>51.99</v>
      </c>
      <c r="G90" s="31">
        <f t="shared" si="32"/>
        <v>5.8212904538978316E-2</v>
      </c>
      <c r="H90" s="17">
        <f t="shared" si="24"/>
        <v>3332.8189500000003</v>
      </c>
      <c r="I90" s="65">
        <f t="shared" si="25"/>
        <v>4.8724406670344056E-2</v>
      </c>
      <c r="J90">
        <v>49.19</v>
      </c>
      <c r="K90" s="31">
        <f t="shared" si="33"/>
        <v>6.8883094306823045E-2</v>
      </c>
      <c r="L90" s="61" t="s">
        <v>195</v>
      </c>
      <c r="M90" s="61">
        <f t="shared" si="27"/>
        <v>113.2941641253943</v>
      </c>
      <c r="N90" s="61">
        <f t="shared" si="28"/>
        <v>62.919036669490616</v>
      </c>
      <c r="O90" s="61">
        <f t="shared" si="29"/>
        <v>58.192357742813236</v>
      </c>
      <c r="P90" s="61">
        <f t="shared" si="34"/>
        <v>90.112261968223692</v>
      </c>
      <c r="Q90" s="34">
        <f t="shared" si="30"/>
        <v>0.80063411842302634</v>
      </c>
    </row>
    <row r="91" spans="1:17" x14ac:dyDescent="0.25">
      <c r="A91" t="s">
        <v>194</v>
      </c>
      <c r="B91">
        <v>51639.75</v>
      </c>
      <c r="C91" s="67">
        <f t="shared" si="22"/>
        <v>2.7465876984706039E-2</v>
      </c>
      <c r="D91">
        <v>63.94</v>
      </c>
      <c r="E91" s="31">
        <f t="shared" si="31"/>
        <v>2.7465876984706039E-2</v>
      </c>
      <c r="F91">
        <v>52.69</v>
      </c>
      <c r="G91" s="31">
        <f t="shared" si="32"/>
        <v>1.3464127716868557E-2</v>
      </c>
      <c r="H91" s="17">
        <f t="shared" si="24"/>
        <v>3368.9985999999999</v>
      </c>
      <c r="I91" s="65">
        <f t="shared" si="25"/>
        <v>1.0855570177311868E-2</v>
      </c>
      <c r="J91">
        <v>47.32</v>
      </c>
      <c r="K91" s="31">
        <f t="shared" si="33"/>
        <v>-3.8015856881479904E-2</v>
      </c>
      <c r="L91" s="61" t="s">
        <v>194</v>
      </c>
      <c r="M91" s="61">
        <f t="shared" si="27"/>
        <v>116.40588770034748</v>
      </c>
      <c r="N91" s="61">
        <f t="shared" si="28"/>
        <v>63.766186615030975</v>
      </c>
      <c r="O91" s="61">
        <f t="shared" si="29"/>
        <v>55.980125399266569</v>
      </c>
      <c r="P91" s="61">
        <f t="shared" si="34"/>
        <v>91.090481951856049</v>
      </c>
      <c r="Q91" s="34">
        <f t="shared" si="30"/>
        <v>0.82551119769969539</v>
      </c>
    </row>
    <row r="92" spans="1:17" x14ac:dyDescent="0.25">
      <c r="A92" t="s">
        <v>193</v>
      </c>
      <c r="B92">
        <v>54617.5</v>
      </c>
      <c r="C92" s="67">
        <f t="shared" si="22"/>
        <v>5.7663912005770701E-2</v>
      </c>
      <c r="D92">
        <v>65.62</v>
      </c>
      <c r="E92" s="31">
        <f t="shared" ref="E92:E94" si="35">B92/B91-1</f>
        <v>5.7663912005770701E-2</v>
      </c>
      <c r="F92">
        <v>58.8</v>
      </c>
      <c r="G92" s="31">
        <f>F92/F91-1</f>
        <v>0.1159612829758967</v>
      </c>
      <c r="H92" s="17">
        <f t="shared" si="24"/>
        <v>3858.4560000000001</v>
      </c>
      <c r="I92" s="65">
        <f t="shared" si="25"/>
        <v>0.14528275553453796</v>
      </c>
      <c r="J92">
        <v>50.59</v>
      </c>
      <c r="K92" s="31">
        <f>J92/J91-1</f>
        <v>6.9103972950126824E-2</v>
      </c>
      <c r="L92" s="61" t="s">
        <v>193</v>
      </c>
      <c r="M92" s="61">
        <f t="shared" si="27"/>
        <v>123.11830656565394</v>
      </c>
      <c r="N92" s="61">
        <f t="shared" si="28"/>
        <v>71.160595425390397</v>
      </c>
      <c r="O92" s="61">
        <f>(1+(J92/J91)-1)*O91</f>
        <v>59.848574470602195</v>
      </c>
      <c r="P92" s="61">
        <f t="shared" si="34"/>
        <v>104.3243581727908</v>
      </c>
      <c r="Q92" s="34">
        <f t="shared" si="30"/>
        <v>0.73014722304761404</v>
      </c>
    </row>
    <row r="93" spans="1:17" x14ac:dyDescent="0.25">
      <c r="A93" t="s">
        <v>192</v>
      </c>
      <c r="B93">
        <v>55746.25</v>
      </c>
      <c r="C93" s="67">
        <f t="shared" si="22"/>
        <v>2.0666453059916767E-2</v>
      </c>
      <c r="D93">
        <v>64.715000000000003</v>
      </c>
      <c r="E93" s="31">
        <f t="shared" si="35"/>
        <v>2.0666453059916767E-2</v>
      </c>
      <c r="F93">
        <v>60.65</v>
      </c>
      <c r="G93" s="31">
        <f t="shared" si="32"/>
        <v>3.1462585034013557E-2</v>
      </c>
      <c r="H93" s="17">
        <f t="shared" si="24"/>
        <v>3924.9647500000001</v>
      </c>
      <c r="I93" s="65">
        <f t="shared" si="25"/>
        <v>1.7237140970377762E-2</v>
      </c>
      <c r="J93">
        <v>54.32</v>
      </c>
      <c r="K93" s="31">
        <f t="shared" si="33"/>
        <v>7.3729986163273198E-2</v>
      </c>
      <c r="L93" s="61" t="s">
        <v>192</v>
      </c>
      <c r="M93" s="61">
        <f t="shared" si="27"/>
        <v>125.6627252691095</v>
      </c>
      <c r="N93" s="61">
        <f t="shared" si="28"/>
        <v>73.399491710032777</v>
      </c>
      <c r="O93" s="61">
        <f t="shared" si="29"/>
        <v>64.261209038211305</v>
      </c>
      <c r="P93" s="61">
        <f t="shared" si="34"/>
        <v>106.12261184125937</v>
      </c>
      <c r="Q93" s="34">
        <f t="shared" si="30"/>
        <v>0.71203808557073445</v>
      </c>
    </row>
    <row r="94" spans="1:17" x14ac:dyDescent="0.25">
      <c r="A94" t="s">
        <v>191</v>
      </c>
      <c r="B94">
        <v>58985.5</v>
      </c>
      <c r="C94" s="67">
        <f t="shared" ref="C94" si="36">B94/B93-1</f>
        <v>5.8107047559252889E-2</v>
      </c>
      <c r="D94">
        <v>64.594999999999999</v>
      </c>
      <c r="E94" s="31">
        <f t="shared" si="35"/>
        <v>5.8107047559252889E-2</v>
      </c>
      <c r="F94">
        <v>63.56</v>
      </c>
      <c r="G94" s="31">
        <f t="shared" si="32"/>
        <v>4.7980214344600203E-2</v>
      </c>
      <c r="H94" s="17">
        <f t="shared" si="24"/>
        <v>4105.6581999999999</v>
      </c>
      <c r="I94" s="65">
        <f t="shared" si="25"/>
        <v>4.6036961223664408E-2</v>
      </c>
      <c r="J94">
        <v>58.35</v>
      </c>
      <c r="K94" s="31">
        <f t="shared" si="33"/>
        <v>7.4189985272459458E-2</v>
      </c>
      <c r="L94" s="61" t="s">
        <v>191</v>
      </c>
      <c r="M94" s="61">
        <f t="shared" si="27"/>
        <v>132.964615222747</v>
      </c>
      <c r="N94" s="61">
        <f t="shared" si="28"/>
        <v>76.921215055064849</v>
      </c>
      <c r="O94" s="61">
        <f t="shared" si="29"/>
        <v>69.02874719034665</v>
      </c>
      <c r="P94" s="61">
        <f t="shared" si="34"/>
        <v>111.00817440754939</v>
      </c>
      <c r="Q94" s="34">
        <f t="shared" si="30"/>
        <v>0.72858183698168189</v>
      </c>
    </row>
    <row r="95" spans="1:17" x14ac:dyDescent="0.25">
      <c r="A95" s="15">
        <v>2018</v>
      </c>
      <c r="B95" s="39">
        <f>B94*(1+$C$95)</f>
        <v>61095.158566779864</v>
      </c>
      <c r="C95" s="38">
        <f>I95</f>
        <v>3.5765714739721899E-2</v>
      </c>
      <c r="D95" s="15">
        <v>63</v>
      </c>
      <c r="E95" s="15"/>
      <c r="F95" s="40">
        <v>67.5</v>
      </c>
      <c r="G95" s="65">
        <f t="shared" si="32"/>
        <v>6.1988672120830701E-2</v>
      </c>
      <c r="H95" s="40">
        <f t="shared" si="24"/>
        <v>4252.5</v>
      </c>
      <c r="I95" s="65">
        <f t="shared" ref="I95:I98" si="37">H95/H94-1</f>
        <v>3.5765714739721899E-2</v>
      </c>
      <c r="J95" s="15">
        <v>60.3</v>
      </c>
      <c r="K95" s="65">
        <f t="shared" si="33"/>
        <v>3.3419023136246784E-2</v>
      </c>
      <c r="L95" s="15"/>
      <c r="M95" s="15"/>
      <c r="N95" s="15"/>
      <c r="O95" s="15"/>
      <c r="P95" s="15"/>
      <c r="Q95" s="15"/>
    </row>
    <row r="96" spans="1:17" x14ac:dyDescent="0.25">
      <c r="A96" s="15">
        <v>2019</v>
      </c>
      <c r="B96" s="39">
        <f t="shared" ref="B96:B99" si="38">B95*(1+$C$95)</f>
        <v>63280.270580057389</v>
      </c>
      <c r="C96" s="38">
        <f t="shared" ref="C96:C99" si="39">I96</f>
        <v>6.9958847736625529E-2</v>
      </c>
      <c r="D96" s="15">
        <v>65</v>
      </c>
      <c r="E96" s="15"/>
      <c r="F96" s="15">
        <v>70</v>
      </c>
      <c r="G96" s="15"/>
      <c r="H96" s="15">
        <f t="shared" si="24"/>
        <v>4550</v>
      </c>
      <c r="I96" s="65">
        <f t="shared" si="37"/>
        <v>6.9958847736625529E-2</v>
      </c>
      <c r="J96" s="15"/>
      <c r="K96" s="15"/>
      <c r="L96" s="15"/>
      <c r="M96" s="15"/>
      <c r="N96" s="15"/>
      <c r="O96" s="15"/>
      <c r="P96" s="15"/>
      <c r="Q96" s="15"/>
    </row>
    <row r="97" spans="1:17" x14ac:dyDescent="0.25">
      <c r="A97" s="15">
        <v>2020</v>
      </c>
      <c r="B97" s="39">
        <f t="shared" si="38"/>
        <v>65543.534686276136</v>
      </c>
      <c r="C97" s="38">
        <f t="shared" si="39"/>
        <v>3.076923076923066E-2</v>
      </c>
      <c r="D97" s="15">
        <v>67</v>
      </c>
      <c r="E97" s="15"/>
      <c r="F97" s="15">
        <v>70</v>
      </c>
      <c r="G97" s="15"/>
      <c r="H97" s="15">
        <f t="shared" si="24"/>
        <v>4690</v>
      </c>
      <c r="I97" s="65">
        <f t="shared" si="37"/>
        <v>3.076923076923066E-2</v>
      </c>
      <c r="J97" s="15"/>
      <c r="K97" s="15"/>
      <c r="L97" s="15"/>
      <c r="M97" s="15"/>
      <c r="N97" s="15"/>
      <c r="O97" s="15"/>
      <c r="P97" s="15"/>
      <c r="Q97" s="15"/>
    </row>
    <row r="98" spans="1:17" x14ac:dyDescent="0.25">
      <c r="A98" s="15">
        <v>2021</v>
      </c>
      <c r="B98" s="39">
        <f t="shared" si="38"/>
        <v>67887.746050898553</v>
      </c>
      <c r="C98" s="38">
        <f t="shared" si="39"/>
        <v>2.9850746268656803E-2</v>
      </c>
      <c r="D98" s="15">
        <v>69</v>
      </c>
      <c r="E98" s="15"/>
      <c r="F98" s="15">
        <f>F97</f>
        <v>70</v>
      </c>
      <c r="G98" s="15"/>
      <c r="H98" s="15">
        <f t="shared" si="24"/>
        <v>4830</v>
      </c>
      <c r="I98" s="65">
        <f t="shared" si="37"/>
        <v>2.9850746268656803E-2</v>
      </c>
      <c r="J98" s="15"/>
      <c r="K98" s="15"/>
      <c r="L98" s="15"/>
      <c r="M98" s="15"/>
      <c r="N98" s="15"/>
      <c r="O98" s="15"/>
      <c r="P98" s="15"/>
      <c r="Q98" s="15"/>
    </row>
    <row r="99" spans="1:17" x14ac:dyDescent="0.25">
      <c r="A99" s="15">
        <v>2022</v>
      </c>
      <c r="B99" s="39">
        <f t="shared" si="38"/>
        <v>70315.799810477678</v>
      </c>
      <c r="C99" s="38">
        <f t="shared" si="39"/>
        <v>2.8985507246376718E-2</v>
      </c>
      <c r="D99" s="15">
        <v>71</v>
      </c>
      <c r="E99" s="15"/>
      <c r="F99" s="15">
        <f>F98</f>
        <v>70</v>
      </c>
      <c r="G99" s="15"/>
      <c r="H99" s="15">
        <f t="shared" si="24"/>
        <v>4970</v>
      </c>
      <c r="I99" s="65">
        <f>H99/H98-1</f>
        <v>2.8985507246376718E-2</v>
      </c>
      <c r="J99" s="15"/>
      <c r="K99" s="15"/>
      <c r="L99" s="15"/>
      <c r="M99" s="15"/>
      <c r="N99" s="15"/>
      <c r="O99" s="15"/>
      <c r="P99" s="15"/>
      <c r="Q99" s="15"/>
    </row>
    <row r="103" spans="1:17" x14ac:dyDescent="0.25">
      <c r="E103" s="293" t="s">
        <v>5</v>
      </c>
      <c r="F103" s="293" t="s">
        <v>432</v>
      </c>
      <c r="G103" s="293" t="s">
        <v>433</v>
      </c>
      <c r="H103" s="293" t="s">
        <v>434</v>
      </c>
      <c r="I103" s="293" t="s">
        <v>435</v>
      </c>
      <c r="J103" s="293" t="s">
        <v>436</v>
      </c>
    </row>
    <row r="104" spans="1:17" x14ac:dyDescent="0.25">
      <c r="E104" s="293">
        <v>2018</v>
      </c>
      <c r="F104" s="293">
        <v>63</v>
      </c>
      <c r="G104" s="293">
        <v>67.5</v>
      </c>
      <c r="H104" s="293">
        <v>4252.5</v>
      </c>
      <c r="I104" s="295">
        <v>3.5765714739721899E-2</v>
      </c>
      <c r="J104" s="296">
        <v>61095.158566779864</v>
      </c>
    </row>
    <row r="105" spans="1:17" x14ac:dyDescent="0.25">
      <c r="E105" s="293">
        <v>2019</v>
      </c>
      <c r="F105" s="293">
        <v>65</v>
      </c>
      <c r="G105" s="293">
        <v>70</v>
      </c>
      <c r="H105" s="293">
        <v>4550</v>
      </c>
      <c r="I105" s="295">
        <v>6.9958847736625529E-2</v>
      </c>
      <c r="J105" s="296">
        <v>63280.270580057389</v>
      </c>
    </row>
    <row r="106" spans="1:17" x14ac:dyDescent="0.25">
      <c r="E106" s="293">
        <v>2020</v>
      </c>
      <c r="F106" s="293">
        <v>67</v>
      </c>
      <c r="G106" s="293">
        <v>70</v>
      </c>
      <c r="H106" s="293">
        <v>4690</v>
      </c>
      <c r="I106" s="295">
        <v>3.076923076923066E-2</v>
      </c>
      <c r="J106" s="296">
        <v>65543.534686276136</v>
      </c>
    </row>
    <row r="107" spans="1:17" x14ac:dyDescent="0.25">
      <c r="E107" s="293">
        <v>2021</v>
      </c>
      <c r="F107" s="293">
        <v>69</v>
      </c>
      <c r="G107" s="293">
        <v>70</v>
      </c>
      <c r="H107" s="293">
        <v>4830</v>
      </c>
      <c r="I107" s="295">
        <v>2.9850746268656803E-2</v>
      </c>
      <c r="J107" s="296">
        <v>67887.746050898553</v>
      </c>
    </row>
    <row r="108" spans="1:17" x14ac:dyDescent="0.25">
      <c r="E108" s="293">
        <v>2022</v>
      </c>
      <c r="F108" s="293">
        <v>71</v>
      </c>
      <c r="G108" s="293">
        <v>70</v>
      </c>
      <c r="H108" s="293">
        <v>4970</v>
      </c>
      <c r="I108" s="295">
        <v>2.8985507246376718E-2</v>
      </c>
      <c r="J108" s="296">
        <v>70315.799810477678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workbookViewId="0">
      <pane xSplit="3" ySplit="6" topLeftCell="D13" activePane="bottomRight" state="frozen"/>
      <selection pane="topRight" activeCell="D1" sqref="D1"/>
      <selection pane="bottomLeft" activeCell="A7" sqref="A7"/>
      <selection pane="bottomRight" activeCell="K49" sqref="K49"/>
    </sheetView>
  </sheetViews>
  <sheetFormatPr defaultRowHeight="15" x14ac:dyDescent="0.25"/>
  <cols>
    <col min="1" max="1" width="33.28515625" customWidth="1"/>
    <col min="2" max="2" width="1.85546875" customWidth="1"/>
    <col min="3" max="3" width="0.85546875" customWidth="1"/>
    <col min="4" max="4" width="10.85546875" customWidth="1"/>
    <col min="11" max="11" width="9.28515625" customWidth="1"/>
  </cols>
  <sheetData>
    <row r="1" spans="1:15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1" t="s">
        <v>1</v>
      </c>
    </row>
    <row r="3" spans="1:15" x14ac:dyDescent="0.25">
      <c r="A3" t="s">
        <v>2</v>
      </c>
    </row>
    <row r="4" spans="1:15" x14ac:dyDescent="0.25">
      <c r="A4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5" x14ac:dyDescent="0.25">
      <c r="A5" s="8" t="s">
        <v>4</v>
      </c>
      <c r="B5" s="5"/>
      <c r="C5" s="8"/>
      <c r="D5" s="235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5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5" x14ac:dyDescent="0.25">
      <c r="A7" s="1" t="s">
        <v>6</v>
      </c>
    </row>
    <row r="8" spans="1:15" x14ac:dyDescent="0.25">
      <c r="A8" t="s">
        <v>8</v>
      </c>
      <c r="D8" s="236">
        <v>343.72</v>
      </c>
      <c r="E8" s="236">
        <v>343.72</v>
      </c>
      <c r="F8" s="236">
        <v>343.72</v>
      </c>
      <c r="G8" s="236">
        <v>343.72</v>
      </c>
      <c r="H8" s="236">
        <v>343.72</v>
      </c>
      <c r="I8" s="237">
        <v>3603.57</v>
      </c>
      <c r="J8" s="237">
        <v>3614.68</v>
      </c>
      <c r="K8" s="18">
        <f>J8</f>
        <v>3614.68</v>
      </c>
      <c r="L8" s="18">
        <f t="shared" ref="L8:O8" si="3">K8</f>
        <v>3614.68</v>
      </c>
      <c r="M8" s="18">
        <f t="shared" si="3"/>
        <v>3614.68</v>
      </c>
      <c r="N8" s="18">
        <f t="shared" si="3"/>
        <v>3614.68</v>
      </c>
      <c r="O8" s="18">
        <f t="shared" si="3"/>
        <v>3614.68</v>
      </c>
    </row>
    <row r="9" spans="1:15" x14ac:dyDescent="0.25">
      <c r="A9" t="s">
        <v>9</v>
      </c>
      <c r="D9" s="236">
        <v>683.67</v>
      </c>
      <c r="E9" s="236">
        <v>2089.61</v>
      </c>
      <c r="F9" s="236">
        <v>3546.77</v>
      </c>
      <c r="G9" s="236">
        <v>3862.56</v>
      </c>
      <c r="H9" s="236">
        <v>3863.23</v>
      </c>
      <c r="I9" s="237">
        <v>14739.2</v>
      </c>
      <c r="J9" s="237">
        <v>34177.08</v>
      </c>
      <c r="K9" s="18">
        <f>J9+'Income statement'!K31-'Cost Matrix'!K46-'Cost Matrix'!K47</f>
        <v>57661.127837413973</v>
      </c>
      <c r="L9" s="209">
        <f>K9+'Income statement'!L31-'Cost Matrix'!L46-'Cost Matrix'!L47</f>
        <v>83944.736647378362</v>
      </c>
      <c r="M9" s="209">
        <f>L9+'Income statement'!M31-'Cost Matrix'!M46-'Cost Matrix'!M47</f>
        <v>116274.86781354506</v>
      </c>
      <c r="N9" s="209">
        <f>M9+'Income statement'!N31-'Cost Matrix'!N46-'Cost Matrix'!N47</f>
        <v>154883.59145131608</v>
      </c>
      <c r="O9" s="209">
        <f>N9+'Income statement'!O31-'Cost Matrix'!O46-'Cost Matrix'!O47</f>
        <v>201353.19382007254</v>
      </c>
    </row>
    <row r="10" spans="1:15" x14ac:dyDescent="0.25">
      <c r="A10" s="1" t="s">
        <v>7</v>
      </c>
      <c r="D10" s="20">
        <f>SUM(D8:D9)</f>
        <v>1027.3899999999999</v>
      </c>
      <c r="E10" s="20">
        <f t="shared" ref="E10:N10" si="4">SUM(E8:E9)</f>
        <v>2433.33</v>
      </c>
      <c r="F10" s="20">
        <f t="shared" si="4"/>
        <v>3890.49</v>
      </c>
      <c r="G10" s="20">
        <f t="shared" si="4"/>
        <v>4206.28</v>
      </c>
      <c r="H10" s="20">
        <f t="shared" si="4"/>
        <v>4206.95</v>
      </c>
      <c r="I10" s="20">
        <f t="shared" si="4"/>
        <v>18342.77</v>
      </c>
      <c r="J10" s="20">
        <f t="shared" si="4"/>
        <v>37791.760000000002</v>
      </c>
      <c r="K10" s="20">
        <f t="shared" si="4"/>
        <v>61275.807837413973</v>
      </c>
      <c r="L10" s="20">
        <f t="shared" si="4"/>
        <v>87559.416647378355</v>
      </c>
      <c r="M10" s="20">
        <f t="shared" si="4"/>
        <v>119889.54781354505</v>
      </c>
      <c r="N10" s="20">
        <f t="shared" si="4"/>
        <v>158498.27145131608</v>
      </c>
      <c r="O10" s="20">
        <f>SUM(O8:O9)</f>
        <v>204967.87382007253</v>
      </c>
    </row>
    <row r="12" spans="1:15" x14ac:dyDescent="0.25">
      <c r="A12" t="s">
        <v>11</v>
      </c>
      <c r="D12" s="238">
        <v>0</v>
      </c>
      <c r="E12" s="238">
        <v>0</v>
      </c>
      <c r="F12" s="236">
        <v>537.15</v>
      </c>
      <c r="G12" s="236">
        <v>522.85</v>
      </c>
      <c r="H12" s="237">
        <v>4091.35</v>
      </c>
      <c r="I12" s="237">
        <v>5179.72</v>
      </c>
      <c r="J12" s="237">
        <v>1618.06</v>
      </c>
      <c r="K12" s="18">
        <f>J12</f>
        <v>1618.06</v>
      </c>
      <c r="L12" s="18">
        <f t="shared" ref="L12:O12" si="5">K12</f>
        <v>1618.06</v>
      </c>
      <c r="M12" s="18">
        <f t="shared" si="5"/>
        <v>1618.06</v>
      </c>
      <c r="N12" s="18">
        <f t="shared" si="5"/>
        <v>1618.06</v>
      </c>
      <c r="O12" s="18">
        <f t="shared" si="5"/>
        <v>1618.06</v>
      </c>
    </row>
    <row r="13" spans="1:15" x14ac:dyDescent="0.25">
      <c r="A13" t="s">
        <v>12</v>
      </c>
      <c r="D13" s="237">
        <v>8069.76</v>
      </c>
      <c r="E13" s="237">
        <v>9055.48</v>
      </c>
      <c r="F13" s="236">
        <v>16173.32</v>
      </c>
      <c r="G13" s="236">
        <v>30807.4</v>
      </c>
      <c r="H13" s="237">
        <v>35884.019999999997</v>
      </c>
      <c r="I13" s="237">
        <v>29498.61</v>
      </c>
      <c r="J13" s="237">
        <v>23957.08</v>
      </c>
      <c r="K13" s="209">
        <f>'Debt schedule'!K10</f>
        <v>31580.420000000002</v>
      </c>
      <c r="L13" s="209">
        <f>'Debt schedule'!L10</f>
        <v>38806.582499999997</v>
      </c>
      <c r="M13" s="209">
        <f>'Debt schedule'!M10</f>
        <v>45894.744999999995</v>
      </c>
      <c r="N13" s="209">
        <f>'Debt schedule'!N10</f>
        <v>52844.907499999994</v>
      </c>
      <c r="O13" s="209">
        <f>'Debt schedule'!O10</f>
        <v>59657.069999999992</v>
      </c>
    </row>
    <row r="14" spans="1:15" x14ac:dyDescent="0.25">
      <c r="A14" t="s">
        <v>13</v>
      </c>
      <c r="D14" s="237">
        <v>1014.6</v>
      </c>
      <c r="E14" s="237">
        <v>2793.79</v>
      </c>
      <c r="F14" s="236">
        <v>7234.82</v>
      </c>
      <c r="G14" s="236">
        <v>12957.85</v>
      </c>
      <c r="H14" s="237">
        <v>20169.509999999998</v>
      </c>
      <c r="I14" s="237">
        <v>24722.47</v>
      </c>
      <c r="J14" s="237">
        <f>22685.34+75</f>
        <v>22760.34</v>
      </c>
      <c r="K14" s="17">
        <f>K57*'Income statement'!K18</f>
        <v>31007.628726746887</v>
      </c>
      <c r="L14" s="17">
        <f>L57*'Income statement'!L18</f>
        <v>37176.910620233488</v>
      </c>
      <c r="M14" s="17">
        <f>M57*'Income statement'!M18</f>
        <v>44332.174720393668</v>
      </c>
      <c r="N14" s="17">
        <f>N57*'Income statement'!N18</f>
        <v>52803.648112860668</v>
      </c>
      <c r="O14" s="17">
        <f>O57*'Income statement'!O18</f>
        <v>63093.497911906699</v>
      </c>
    </row>
    <row r="15" spans="1:15" x14ac:dyDescent="0.25">
      <c r="A15" t="s">
        <v>14</v>
      </c>
      <c r="D15" s="237">
        <v>133.82</v>
      </c>
      <c r="E15" s="237">
        <v>158.31</v>
      </c>
      <c r="F15" s="236">
        <v>231.64</v>
      </c>
      <c r="G15" s="236">
        <v>368.32</v>
      </c>
      <c r="H15" s="237">
        <v>522.91</v>
      </c>
      <c r="I15" s="237">
        <v>810.64</v>
      </c>
      <c r="J15" s="237">
        <v>1223.94</v>
      </c>
      <c r="K15" s="18">
        <f>J15</f>
        <v>1223.94</v>
      </c>
      <c r="L15" s="18">
        <f t="shared" ref="L15:O15" si="6">K15</f>
        <v>1223.94</v>
      </c>
      <c r="M15" s="18">
        <f t="shared" si="6"/>
        <v>1223.94</v>
      </c>
      <c r="N15" s="18">
        <f t="shared" si="6"/>
        <v>1223.94</v>
      </c>
      <c r="O15" s="18">
        <f t="shared" si="6"/>
        <v>1223.94</v>
      </c>
    </row>
    <row r="16" spans="1:15" x14ac:dyDescent="0.25">
      <c r="A16" t="s">
        <v>15</v>
      </c>
      <c r="D16" s="239">
        <v>4678.16</v>
      </c>
      <c r="E16" s="237">
        <v>8748.39</v>
      </c>
      <c r="F16" s="236">
        <v>11677.54</v>
      </c>
      <c r="G16" s="236">
        <v>13654.32</v>
      </c>
      <c r="H16" s="237">
        <v>13317.44</v>
      </c>
      <c r="I16" s="237">
        <v>11778.16</v>
      </c>
      <c r="J16" s="237">
        <v>16899.900000000001</v>
      </c>
      <c r="K16" s="17">
        <f>Incentive!K7</f>
        <v>22271.942000000003</v>
      </c>
      <c r="L16" s="17">
        <f>Incentive!L7</f>
        <v>17591.190707826077</v>
      </c>
      <c r="M16" s="17">
        <f>Incentive!M7</f>
        <v>24897.583480104331</v>
      </c>
      <c r="N16" s="17">
        <f>Incentive!N7</f>
        <v>32074.229861938773</v>
      </c>
      <c r="O16" s="17">
        <f>Incentive!O7</f>
        <v>39763.41105209841</v>
      </c>
    </row>
    <row r="17" spans="1:15" x14ac:dyDescent="0.25">
      <c r="A17" s="1" t="s">
        <v>10</v>
      </c>
      <c r="D17" s="20">
        <f t="shared" ref="D17:O17" si="7">SUM(D12:D16)</f>
        <v>13896.34</v>
      </c>
      <c r="E17" s="20">
        <f t="shared" si="7"/>
        <v>20755.97</v>
      </c>
      <c r="F17" s="20">
        <f t="shared" si="7"/>
        <v>35854.47</v>
      </c>
      <c r="G17" s="20">
        <f t="shared" si="7"/>
        <v>58310.74</v>
      </c>
      <c r="H17" s="20">
        <f t="shared" si="7"/>
        <v>73985.23</v>
      </c>
      <c r="I17" s="20">
        <f t="shared" si="7"/>
        <v>71989.600000000006</v>
      </c>
      <c r="J17" s="20">
        <f t="shared" si="7"/>
        <v>66459.320000000007</v>
      </c>
      <c r="K17" s="20">
        <f t="shared" si="7"/>
        <v>87701.990726746895</v>
      </c>
      <c r="L17" s="20">
        <f t="shared" si="7"/>
        <v>96416.683828059555</v>
      </c>
      <c r="M17" s="20">
        <f t="shared" si="7"/>
        <v>117966.503200498</v>
      </c>
      <c r="N17" s="20">
        <f t="shared" si="7"/>
        <v>140564.78547479943</v>
      </c>
      <c r="O17" s="20">
        <f t="shared" si="7"/>
        <v>165355.9789640051</v>
      </c>
    </row>
    <row r="18" spans="1:15" x14ac:dyDescent="0.25">
      <c r="D18" s="18">
        <f>'Cost Matrix'!D30</f>
        <v>-2273.94</v>
      </c>
      <c r="E18" s="18">
        <f>'Cost Matrix'!E30</f>
        <v>-2627.25</v>
      </c>
      <c r="F18" s="18">
        <f>'Cost Matrix'!F30</f>
        <v>-3588.03</v>
      </c>
      <c r="G18" s="18">
        <f>'Cost Matrix'!G30</f>
        <v>-3607.17</v>
      </c>
      <c r="H18" s="18">
        <f>'Cost Matrix'!H30</f>
        <v>-3553.12</v>
      </c>
      <c r="I18" s="18">
        <f>'Cost Matrix'!I30</f>
        <v>-3565.96</v>
      </c>
      <c r="J18" s="18">
        <f>'Cost Matrix'!J30</f>
        <v>-5332</v>
      </c>
    </row>
    <row r="19" spans="1:15" s="179" customFormat="1" x14ac:dyDescent="0.25">
      <c r="D19" s="31">
        <f>D18/D16</f>
        <v>-0.48607572207876604</v>
      </c>
      <c r="E19" s="31">
        <f t="shared" ref="E19:J19" si="8">E18/E16</f>
        <v>-0.30031240033880524</v>
      </c>
      <c r="F19" s="31">
        <f t="shared" si="8"/>
        <v>-0.30725906312459644</v>
      </c>
      <c r="G19" s="31">
        <f t="shared" si="8"/>
        <v>-0.26417793050111615</v>
      </c>
      <c r="H19" s="31">
        <f t="shared" si="8"/>
        <v>-0.26680202801739672</v>
      </c>
      <c r="I19" s="31">
        <f t="shared" si="8"/>
        <v>-0.3027603632485889</v>
      </c>
      <c r="J19" s="31">
        <f t="shared" si="8"/>
        <v>-0.31550482547234004</v>
      </c>
      <c r="K19" s="33"/>
    </row>
    <row r="20" spans="1:15" x14ac:dyDescent="0.25">
      <c r="A20" t="s">
        <v>17</v>
      </c>
      <c r="D20" s="236">
        <v>540.29</v>
      </c>
      <c r="E20" s="236">
        <v>305.58</v>
      </c>
      <c r="F20" s="236">
        <v>814.34</v>
      </c>
      <c r="G20" s="236">
        <v>0</v>
      </c>
      <c r="H20" s="236">
        <v>0</v>
      </c>
      <c r="I20" s="236">
        <v>0</v>
      </c>
      <c r="J20" s="236">
        <v>0</v>
      </c>
      <c r="K20" s="17">
        <f>J20</f>
        <v>0</v>
      </c>
      <c r="L20" s="17">
        <f t="shared" ref="L20:O20" si="9">K20</f>
        <v>0</v>
      </c>
      <c r="M20" s="17">
        <f t="shared" si="9"/>
        <v>0</v>
      </c>
      <c r="N20" s="17">
        <f t="shared" si="9"/>
        <v>0</v>
      </c>
      <c r="O20" s="17">
        <f t="shared" si="9"/>
        <v>0</v>
      </c>
    </row>
    <row r="21" spans="1:15" x14ac:dyDescent="0.25">
      <c r="A21" t="s">
        <v>18</v>
      </c>
      <c r="D21" s="236">
        <v>1076.17</v>
      </c>
      <c r="E21" s="236">
        <v>1584.84</v>
      </c>
      <c r="F21" s="236">
        <v>2647.91</v>
      </c>
      <c r="G21" s="237">
        <v>3844.46</v>
      </c>
      <c r="H21" s="236">
        <f>17.75+4737</f>
        <v>4754.75</v>
      </c>
      <c r="I21" s="236">
        <f>15.89+7396.39</f>
        <v>7412.2800000000007</v>
      </c>
      <c r="J21" s="237">
        <v>7746.1</v>
      </c>
      <c r="K21" s="17">
        <f>('Income statement'!K14+'Income statement'!K16)*'Balance sheet'!K50</f>
        <v>9598.4016436242091</v>
      </c>
      <c r="L21" s="17">
        <f>('Income statement'!L14+'Income statement'!L16)*'Balance sheet'!L50</f>
        <v>11806.487350232963</v>
      </c>
      <c r="M21" s="17">
        <f>('Income statement'!M14+'Income statement'!M16)*'Balance sheet'!M50</f>
        <v>13812.053959696286</v>
      </c>
      <c r="N21" s="17">
        <f>('Income statement'!N14+'Income statement'!N16)*'Balance sheet'!N50</f>
        <v>16661.318347416785</v>
      </c>
      <c r="O21" s="17">
        <f>('Income statement'!O14+'Income statement'!O16)*'Balance sheet'!O50</f>
        <v>20116.962239638404</v>
      </c>
    </row>
    <row r="22" spans="1:15" x14ac:dyDescent="0.25">
      <c r="A22" t="s">
        <v>19</v>
      </c>
      <c r="D22" s="236">
        <v>4624.8500000000004</v>
      </c>
      <c r="E22" s="236">
        <v>8149.01</v>
      </c>
      <c r="F22" s="236">
        <v>11383.29</v>
      </c>
      <c r="G22" s="237">
        <v>16149.4</v>
      </c>
      <c r="H22" s="236">
        <v>19007.990000000002</v>
      </c>
      <c r="I22" s="236">
        <v>21509.21</v>
      </c>
      <c r="J22" s="237">
        <f>19725.85+14322.67+447</f>
        <v>34495.519999999997</v>
      </c>
      <c r="K22" s="14">
        <f>K51*'Income statement'!K14</f>
        <v>33375.43626075895</v>
      </c>
      <c r="L22" s="14">
        <f>L51*'Income statement'!L14</f>
        <v>40694.051647041022</v>
      </c>
      <c r="M22" s="14">
        <f>M51*'Income statement'!M14</f>
        <v>49362.902606977332</v>
      </c>
      <c r="N22" s="14">
        <f>N51*'Income statement'!N14</f>
        <v>59827.205663582034</v>
      </c>
      <c r="O22" s="14">
        <f>O51*'Income statement'!O14</f>
        <v>72762.267516171531</v>
      </c>
    </row>
    <row r="23" spans="1:15" x14ac:dyDescent="0.25">
      <c r="A23" t="s">
        <v>20</v>
      </c>
      <c r="D23" s="236">
        <v>5808.63</v>
      </c>
      <c r="E23" s="236">
        <v>186.51</v>
      </c>
      <c r="F23" s="236">
        <v>307.85000000000002</v>
      </c>
      <c r="G23" s="237">
        <v>4645.0600000000004</v>
      </c>
      <c r="H23" s="236">
        <v>1528.51</v>
      </c>
      <c r="I23" s="236">
        <v>6883.18</v>
      </c>
      <c r="J23" s="237">
        <v>667.06</v>
      </c>
      <c r="K23" s="17">
        <f>K52*'Income statement'!K14</f>
        <v>737.98675642292869</v>
      </c>
      <c r="L23" s="17">
        <f>L52*'Income statement'!L14</f>
        <v>899.81359183060545</v>
      </c>
      <c r="M23" s="17">
        <f>M52*'Income statement'!M14</f>
        <v>1091.4963956703571</v>
      </c>
      <c r="N23" s="17">
        <f>N52*'Income statement'!N14</f>
        <v>1322.8796504279874</v>
      </c>
      <c r="O23" s="17">
        <f>O52*'Income statement'!O14</f>
        <v>1608.895517490856</v>
      </c>
    </row>
    <row r="24" spans="1:15" x14ac:dyDescent="0.25">
      <c r="A24" t="s">
        <v>15</v>
      </c>
      <c r="D24" s="236">
        <v>2220.83</v>
      </c>
      <c r="E24" s="236">
        <v>3055.37</v>
      </c>
      <c r="F24" s="236">
        <v>3626.58</v>
      </c>
      <c r="G24" s="237">
        <v>3878.42</v>
      </c>
      <c r="H24" s="236">
        <v>4199.0200000000004</v>
      </c>
      <c r="I24" s="236">
        <v>4054.07</v>
      </c>
      <c r="J24" s="237">
        <v>4937.83</v>
      </c>
      <c r="K24" s="17">
        <f>Incentive!K8</f>
        <v>7097.9580000000005</v>
      </c>
      <c r="L24" s="17">
        <f>Incentive!L8</f>
        <v>9354.2156400000003</v>
      </c>
      <c r="M24" s="17">
        <f>Incentive!M8</f>
        <v>7388.3000972869522</v>
      </c>
      <c r="N24" s="17">
        <f>Incentive!N8</f>
        <v>10456.985061643818</v>
      </c>
      <c r="O24" s="17">
        <f>Incentive!O8</f>
        <v>13471.176542014284</v>
      </c>
    </row>
    <row r="25" spans="1:15" x14ac:dyDescent="0.25">
      <c r="A25" s="1" t="s">
        <v>16</v>
      </c>
      <c r="D25" s="20">
        <f t="shared" ref="D25:O25" si="10">SUM(D20:D24)</f>
        <v>14270.77</v>
      </c>
      <c r="E25" s="20">
        <f t="shared" si="10"/>
        <v>13281.310000000001</v>
      </c>
      <c r="F25" s="20">
        <f t="shared" si="10"/>
        <v>18779.97</v>
      </c>
      <c r="G25" s="20">
        <f t="shared" si="10"/>
        <v>28517.340000000004</v>
      </c>
      <c r="H25" s="20">
        <f t="shared" si="10"/>
        <v>29490.27</v>
      </c>
      <c r="I25" s="20">
        <f t="shared" si="10"/>
        <v>39858.74</v>
      </c>
      <c r="J25" s="20">
        <f t="shared" si="10"/>
        <v>47846.509999999995</v>
      </c>
      <c r="K25" s="20">
        <f t="shared" si="10"/>
        <v>50809.782660806086</v>
      </c>
      <c r="L25" s="20">
        <f t="shared" si="10"/>
        <v>62754.568229104596</v>
      </c>
      <c r="M25" s="20">
        <f t="shared" si="10"/>
        <v>71654.753059630923</v>
      </c>
      <c r="N25" s="20">
        <f t="shared" si="10"/>
        <v>88268.388723070631</v>
      </c>
      <c r="O25" s="20">
        <f t="shared" si="10"/>
        <v>107959.30181531509</v>
      </c>
    </row>
    <row r="26" spans="1:15" x14ac:dyDescent="0.25">
      <c r="A26" s="1" t="s">
        <v>21</v>
      </c>
      <c r="D26" s="20">
        <f t="shared" ref="D26:O26" si="11">D10+D17+D25</f>
        <v>29194.5</v>
      </c>
      <c r="E26" s="20">
        <f t="shared" si="11"/>
        <v>36470.61</v>
      </c>
      <c r="F26" s="20">
        <f t="shared" si="11"/>
        <v>58524.93</v>
      </c>
      <c r="G26" s="20">
        <f t="shared" si="11"/>
        <v>91034.36</v>
      </c>
      <c r="H26" s="20">
        <f t="shared" si="11"/>
        <v>107682.45</v>
      </c>
      <c r="I26" s="20">
        <f t="shared" si="11"/>
        <v>130191.11000000002</v>
      </c>
      <c r="J26" s="20">
        <f t="shared" si="11"/>
        <v>152097.59000000003</v>
      </c>
      <c r="K26" s="20">
        <f t="shared" si="11"/>
        <v>199787.58122496697</v>
      </c>
      <c r="L26" s="20">
        <f t="shared" si="11"/>
        <v>246730.66870454251</v>
      </c>
      <c r="M26" s="20">
        <f t="shared" si="11"/>
        <v>309510.80407367396</v>
      </c>
      <c r="N26" s="20">
        <f t="shared" si="11"/>
        <v>387331.44564918615</v>
      </c>
      <c r="O26" s="20">
        <f t="shared" si="11"/>
        <v>478283.15459939273</v>
      </c>
    </row>
    <row r="27" spans="1:15" x14ac:dyDescent="0.25">
      <c r="A27" s="1"/>
      <c r="F27" t="s">
        <v>40</v>
      </c>
    </row>
    <row r="28" spans="1:15" x14ac:dyDescent="0.25">
      <c r="A28" t="s">
        <v>24</v>
      </c>
      <c r="D28" s="237">
        <v>8310.1200000000008</v>
      </c>
      <c r="E28" s="237">
        <v>8813.1200000000008</v>
      </c>
      <c r="F28" s="237">
        <v>17547.89</v>
      </c>
      <c r="G28" s="237">
        <v>39407.199999999997</v>
      </c>
      <c r="H28" s="237">
        <v>48664.02</v>
      </c>
      <c r="I28" s="237">
        <v>46755.15</v>
      </c>
      <c r="J28" s="237">
        <v>37474.720000000001</v>
      </c>
      <c r="K28" s="209">
        <f>'Asset Schedule '!K12</f>
        <v>43402.957760000005</v>
      </c>
      <c r="L28" s="209">
        <f>'Asset Schedule '!L12</f>
        <v>49083.445646080007</v>
      </c>
      <c r="M28" s="209">
        <f>'Asset Schedule '!M12</f>
        <v>54538.976646640644</v>
      </c>
      <c r="N28" s="209">
        <f>'Asset Schedule '!N12</f>
        <v>59790.246795149702</v>
      </c>
      <c r="O28" s="209">
        <f>'Asset Schedule '!O12</f>
        <v>64856.048089995922</v>
      </c>
    </row>
    <row r="29" spans="1:15" x14ac:dyDescent="0.25">
      <c r="A29" t="s">
        <v>25</v>
      </c>
      <c r="D29" s="237">
        <v>1.29</v>
      </c>
      <c r="E29" s="237">
        <v>46.99</v>
      </c>
      <c r="F29" s="237">
        <v>96.7</v>
      </c>
      <c r="G29" s="237">
        <v>152.46</v>
      </c>
      <c r="H29" s="237">
        <v>96.37</v>
      </c>
      <c r="I29" s="237">
        <v>199.74</v>
      </c>
      <c r="J29" s="237">
        <v>463.69</v>
      </c>
      <c r="K29" s="17">
        <f>'Asset Schedule '!K25</f>
        <v>614.96019999999999</v>
      </c>
      <c r="L29" s="17">
        <f>'Asset Schedule '!L25</f>
        <v>702.69691599999999</v>
      </c>
      <c r="M29" s="17">
        <f>'Asset Schedule '!M25</f>
        <v>753.58421127999986</v>
      </c>
      <c r="N29" s="17">
        <f>'Asset Schedule '!N25</f>
        <v>783.09884254240001</v>
      </c>
      <c r="O29" s="17">
        <f>'Asset Schedule '!O25</f>
        <v>800.21732867459195</v>
      </c>
    </row>
    <row r="30" spans="1:15" x14ac:dyDescent="0.25">
      <c r="A30" t="s">
        <v>26</v>
      </c>
      <c r="D30" s="237">
        <v>0</v>
      </c>
      <c r="E30" s="238">
        <v>0</v>
      </c>
      <c r="F30" s="237">
        <v>68.47</v>
      </c>
      <c r="G30" s="238">
        <v>0</v>
      </c>
      <c r="H30" s="237">
        <v>4.53</v>
      </c>
      <c r="I30" s="237">
        <v>237.34</v>
      </c>
      <c r="J30" s="237">
        <v>233.03</v>
      </c>
      <c r="K30" s="18">
        <f>J30</f>
        <v>233.03</v>
      </c>
      <c r="L30" s="18">
        <f t="shared" ref="L30:O30" si="12">K30</f>
        <v>233.03</v>
      </c>
      <c r="M30" s="18">
        <f t="shared" si="12"/>
        <v>233.03</v>
      </c>
      <c r="N30" s="18">
        <f t="shared" si="12"/>
        <v>233.03</v>
      </c>
      <c r="O30" s="18">
        <f t="shared" si="12"/>
        <v>233.03</v>
      </c>
    </row>
    <row r="31" spans="1:15" x14ac:dyDescent="0.25">
      <c r="A31" t="s">
        <v>34</v>
      </c>
      <c r="D31" s="237">
        <v>0</v>
      </c>
      <c r="E31" s="238">
        <v>0</v>
      </c>
      <c r="F31" s="237">
        <v>0</v>
      </c>
      <c r="G31" s="238">
        <v>0</v>
      </c>
      <c r="H31" s="237">
        <v>0</v>
      </c>
      <c r="I31" s="237">
        <v>82.31</v>
      </c>
      <c r="J31" s="237">
        <v>18.829999999999998</v>
      </c>
      <c r="K31" s="18">
        <f>J31</f>
        <v>18.829999999999998</v>
      </c>
      <c r="L31" s="18">
        <f t="shared" ref="L31:O31" si="13">K31</f>
        <v>18.829999999999998</v>
      </c>
      <c r="M31" s="18">
        <f t="shared" si="13"/>
        <v>18.829999999999998</v>
      </c>
      <c r="N31" s="18">
        <f t="shared" si="13"/>
        <v>18.829999999999998</v>
      </c>
      <c r="O31" s="18">
        <f t="shared" si="13"/>
        <v>18.829999999999998</v>
      </c>
    </row>
    <row r="32" spans="1:15" x14ac:dyDescent="0.25">
      <c r="A32" s="1" t="s">
        <v>23</v>
      </c>
      <c r="D32" s="21">
        <f>SUM(D28:D31)</f>
        <v>8311.4100000000017</v>
      </c>
      <c r="E32" s="21">
        <f t="shared" ref="E32:O32" si="14">SUM(E28:E31)</f>
        <v>8860.11</v>
      </c>
      <c r="F32" s="21">
        <f t="shared" si="14"/>
        <v>17713.060000000001</v>
      </c>
      <c r="G32" s="21">
        <f t="shared" si="14"/>
        <v>39559.659999999996</v>
      </c>
      <c r="H32" s="21">
        <f t="shared" si="14"/>
        <v>48764.92</v>
      </c>
      <c r="I32" s="21">
        <f t="shared" si="14"/>
        <v>47274.539999999994</v>
      </c>
      <c r="J32" s="21">
        <f t="shared" si="14"/>
        <v>38190.270000000004</v>
      </c>
      <c r="K32" s="21">
        <f t="shared" si="14"/>
        <v>44269.777960000007</v>
      </c>
      <c r="L32" s="21">
        <f t="shared" si="14"/>
        <v>50038.002562080008</v>
      </c>
      <c r="M32" s="21">
        <f t="shared" si="14"/>
        <v>55544.420857920646</v>
      </c>
      <c r="N32" s="21">
        <f t="shared" si="14"/>
        <v>60825.205637692103</v>
      </c>
      <c r="O32" s="21">
        <f t="shared" si="14"/>
        <v>65908.125418670519</v>
      </c>
    </row>
    <row r="34" spans="1:15" x14ac:dyDescent="0.25">
      <c r="A34" t="s">
        <v>27</v>
      </c>
      <c r="D34" s="238">
        <v>0</v>
      </c>
      <c r="E34" s="237">
        <v>0</v>
      </c>
      <c r="F34" s="240">
        <v>0.35</v>
      </c>
      <c r="G34" s="240">
        <v>0.47</v>
      </c>
      <c r="H34" s="240">
        <v>0.46</v>
      </c>
      <c r="I34" s="238">
        <v>0.25</v>
      </c>
      <c r="J34" s="238">
        <v>0.18</v>
      </c>
      <c r="K34">
        <f>J34</f>
        <v>0.18</v>
      </c>
      <c r="L34">
        <f t="shared" ref="L34:O34" si="15">K34</f>
        <v>0.18</v>
      </c>
      <c r="M34">
        <f t="shared" si="15"/>
        <v>0.18</v>
      </c>
      <c r="N34">
        <f t="shared" si="15"/>
        <v>0.18</v>
      </c>
      <c r="O34">
        <f t="shared" si="15"/>
        <v>0.18</v>
      </c>
    </row>
    <row r="35" spans="1:15" x14ac:dyDescent="0.25">
      <c r="A35" t="s">
        <v>28</v>
      </c>
      <c r="D35" s="236">
        <v>8.1999999999999993</v>
      </c>
      <c r="E35" s="236">
        <v>665.1</v>
      </c>
      <c r="F35" s="238">
        <v>0</v>
      </c>
      <c r="G35" s="238">
        <v>0</v>
      </c>
      <c r="H35" s="238">
        <v>0</v>
      </c>
      <c r="I35" s="238">
        <v>0</v>
      </c>
      <c r="J35" s="236">
        <v>97.6</v>
      </c>
      <c r="K35" s="17">
        <f>J35</f>
        <v>97.6</v>
      </c>
      <c r="L35" s="17">
        <f t="shared" ref="L35:O35" si="16">K35</f>
        <v>97.6</v>
      </c>
      <c r="M35" s="17">
        <f t="shared" si="16"/>
        <v>97.6</v>
      </c>
      <c r="N35" s="17">
        <f t="shared" si="16"/>
        <v>97.6</v>
      </c>
      <c r="O35" s="17">
        <f t="shared" si="16"/>
        <v>97.6</v>
      </c>
    </row>
    <row r="36" spans="1:15" x14ac:dyDescent="0.25">
      <c r="A36" t="s">
        <v>29</v>
      </c>
      <c r="D36" s="236">
        <v>1268.71</v>
      </c>
      <c r="E36" s="237">
        <v>2973.09</v>
      </c>
      <c r="F36" s="237">
        <v>5246.98</v>
      </c>
      <c r="G36" s="237">
        <v>8012.06</v>
      </c>
      <c r="H36" s="237">
        <v>11181.34</v>
      </c>
      <c r="I36" s="237">
        <v>11930.62</v>
      </c>
      <c r="J36" s="237">
        <v>5440.26</v>
      </c>
      <c r="K36" s="18">
        <f>J36</f>
        <v>5440.26</v>
      </c>
      <c r="L36" s="18">
        <f t="shared" ref="L36:O36" si="17">K36</f>
        <v>5440.26</v>
      </c>
      <c r="M36" s="18">
        <f t="shared" si="17"/>
        <v>5440.26</v>
      </c>
      <c r="N36" s="18">
        <f t="shared" si="17"/>
        <v>5440.26</v>
      </c>
      <c r="O36" s="18">
        <f t="shared" si="17"/>
        <v>5440.26</v>
      </c>
    </row>
    <row r="37" spans="1:15" x14ac:dyDescent="0.25">
      <c r="A37" t="s">
        <v>30</v>
      </c>
      <c r="D37" s="236">
        <v>118.95</v>
      </c>
      <c r="E37" s="237">
        <v>885.3</v>
      </c>
      <c r="F37" s="237">
        <v>4857.72</v>
      </c>
      <c r="G37" s="237">
        <v>14315.23</v>
      </c>
      <c r="H37" s="237">
        <v>16055.6</v>
      </c>
      <c r="I37" s="237">
        <v>14977.84</v>
      </c>
      <c r="J37" s="237">
        <f>3548.74+10356.39</f>
        <v>13905.13</v>
      </c>
      <c r="K37" s="18">
        <f>J37</f>
        <v>13905.13</v>
      </c>
      <c r="L37" s="18">
        <f t="shared" ref="L37:O37" si="18">K37</f>
        <v>13905.13</v>
      </c>
      <c r="M37" s="18">
        <f t="shared" si="18"/>
        <v>13905.13</v>
      </c>
      <c r="N37" s="18">
        <f t="shared" si="18"/>
        <v>13905.13</v>
      </c>
      <c r="O37" s="18">
        <f t="shared" si="18"/>
        <v>13905.13</v>
      </c>
    </row>
    <row r="38" spans="1:15" x14ac:dyDescent="0.25">
      <c r="A38" s="1" t="s">
        <v>22</v>
      </c>
      <c r="D38" s="20">
        <f>SUM(D34:D37)</f>
        <v>1395.8600000000001</v>
      </c>
      <c r="E38" s="20">
        <f t="shared" ref="E38:G38" si="19">SUM(E34:E37)</f>
        <v>4523.49</v>
      </c>
      <c r="F38" s="20">
        <f t="shared" si="19"/>
        <v>10105.049999999999</v>
      </c>
      <c r="G38" s="20">
        <f t="shared" si="19"/>
        <v>22327.760000000002</v>
      </c>
      <c r="H38" s="20">
        <f>SUM(H34:H37)</f>
        <v>27237.4</v>
      </c>
      <c r="I38" s="20">
        <f t="shared" ref="I38" si="20">SUM(I34:I37)</f>
        <v>26908.71</v>
      </c>
      <c r="J38" s="20">
        <f t="shared" ref="J38" si="21">SUM(J34:J37)</f>
        <v>19443.169999999998</v>
      </c>
      <c r="K38" s="20">
        <f t="shared" ref="K38" si="22">SUM(K34:K37)</f>
        <v>19443.169999999998</v>
      </c>
      <c r="L38" s="20">
        <f t="shared" ref="L38" si="23">SUM(L34:L37)</f>
        <v>19443.169999999998</v>
      </c>
      <c r="M38" s="20">
        <f t="shared" ref="M38" si="24">SUM(M34:M37)</f>
        <v>19443.169999999998</v>
      </c>
      <c r="N38" s="20">
        <f t="shared" ref="N38" si="25">SUM(N34:N37)</f>
        <v>19443.169999999998</v>
      </c>
      <c r="O38" s="20">
        <f t="shared" ref="O38" si="26">SUM(O34:O37)</f>
        <v>19443.169999999998</v>
      </c>
    </row>
    <row r="39" spans="1:15" x14ac:dyDescent="0.25">
      <c r="A39" s="14"/>
    </row>
    <row r="40" spans="1:15" x14ac:dyDescent="0.25">
      <c r="A40" t="s">
        <v>32</v>
      </c>
      <c r="D40" s="237">
        <v>8022.44</v>
      </c>
      <c r="E40" s="237">
        <v>5234.18</v>
      </c>
      <c r="F40" s="237">
        <v>11383.42</v>
      </c>
      <c r="G40" s="237">
        <v>12714.84</v>
      </c>
      <c r="H40" s="237">
        <v>5167.5200000000004</v>
      </c>
      <c r="I40" s="237">
        <v>9741.2000000000007</v>
      </c>
      <c r="J40" s="237">
        <v>37134.1</v>
      </c>
      <c r="K40" s="18">
        <f>J40</f>
        <v>37134.1</v>
      </c>
      <c r="L40" s="18">
        <f t="shared" ref="L40:O40" si="27">K40</f>
        <v>37134.1</v>
      </c>
      <c r="M40" s="18">
        <f t="shared" si="27"/>
        <v>37134.1</v>
      </c>
      <c r="N40" s="18">
        <f t="shared" si="27"/>
        <v>37134.1</v>
      </c>
      <c r="O40" s="18">
        <f t="shared" si="27"/>
        <v>37134.1</v>
      </c>
    </row>
    <row r="41" spans="1:15" x14ac:dyDescent="0.25">
      <c r="A41" t="s">
        <v>33</v>
      </c>
      <c r="D41" s="237">
        <v>446.74</v>
      </c>
      <c r="E41" s="237">
        <v>373.88</v>
      </c>
      <c r="F41" s="237">
        <v>522.75</v>
      </c>
      <c r="G41" s="237">
        <v>672.86</v>
      </c>
      <c r="H41" s="237">
        <v>1305.54</v>
      </c>
      <c r="I41" s="237">
        <v>1267.2</v>
      </c>
      <c r="J41" s="237">
        <v>1631.5</v>
      </c>
      <c r="K41" s="17">
        <f>('Income statement'!K14+'Income statement'!K16)*K53</f>
        <v>1806.3110677271097</v>
      </c>
      <c r="L41" s="17">
        <f>('Income statement'!L14+'Income statement'!L16)*L53</f>
        <v>2221.847924635656</v>
      </c>
      <c r="M41" s="17">
        <f>('Income statement'!M14+'Income statement'!M16)*M53</f>
        <v>2599.272968746403</v>
      </c>
      <c r="N41" s="17">
        <f>('Income statement'!N14+'Income statement'!N16)*N53</f>
        <v>3135.4724308556952</v>
      </c>
      <c r="O41" s="17">
        <f>('Income statement'!O14+'Income statement'!O16)*O53</f>
        <v>3785.7856851244155</v>
      </c>
    </row>
    <row r="42" spans="1:15" x14ac:dyDescent="0.25">
      <c r="A42" t="s">
        <v>35</v>
      </c>
      <c r="D42" s="237">
        <v>166.58</v>
      </c>
      <c r="E42" s="237">
        <v>389.2</v>
      </c>
      <c r="F42" s="237">
        <v>685.22</v>
      </c>
      <c r="G42" s="237">
        <v>891.22</v>
      </c>
      <c r="H42" s="237">
        <v>1045.5</v>
      </c>
      <c r="I42" s="237">
        <v>1571.14</v>
      </c>
      <c r="J42" s="237">
        <v>1587.02</v>
      </c>
      <c r="K42" s="14">
        <f>K54*'Income statement'!K7</f>
        <v>1864.083324816256</v>
      </c>
      <c r="L42" s="14">
        <f>L54*'Income statement'!L7</f>
        <v>2238.0744158512252</v>
      </c>
      <c r="M42" s="14">
        <f>M54*'Income statement'!M7</f>
        <v>2675.3543495903527</v>
      </c>
      <c r="N42" s="14">
        <f>N54*'Income statement'!N7</f>
        <v>3198.0232801910834</v>
      </c>
      <c r="O42" s="14">
        <f>O54*'Income statement'!O7</f>
        <v>3839.6573444812288</v>
      </c>
    </row>
    <row r="43" spans="1:15" x14ac:dyDescent="0.25">
      <c r="A43" t="s">
        <v>36</v>
      </c>
      <c r="D43" s="237">
        <v>7756.93</v>
      </c>
      <c r="E43" s="237">
        <v>13088.26</v>
      </c>
      <c r="F43" s="237">
        <v>13405.88</v>
      </c>
      <c r="G43" s="237">
        <v>11015.33</v>
      </c>
      <c r="H43" s="237">
        <v>19993.8</v>
      </c>
      <c r="I43" s="237">
        <v>37186.699999999997</v>
      </c>
      <c r="J43" s="237">
        <f>1531.19+44794.26</f>
        <v>46325.450000000004</v>
      </c>
      <c r="K43" s="17">
        <f>'CashFlow Statement'!K55+'CashFlow Statement'!K57</f>
        <v>90169.534988450905</v>
      </c>
      <c r="L43" s="17">
        <f>'CashFlow Statement'!L55+'CashFlow Statement'!L57</f>
        <v>129531.58175906766</v>
      </c>
      <c r="M43" s="17">
        <f>'CashFlow Statement'!M55+'CashFlow Statement'!M57</f>
        <v>184794.13920876564</v>
      </c>
      <c r="N43" s="17">
        <f>'CashFlow Statement'!N55+'CashFlow Statement'!N57</f>
        <v>254845.03758947254</v>
      </c>
      <c r="O43" s="17">
        <f>'CashFlow Statement'!O55+'CashFlow Statement'!O57</f>
        <v>337666.28537360765</v>
      </c>
    </row>
    <row r="44" spans="1:15" x14ac:dyDescent="0.25">
      <c r="A44" t="s">
        <v>37</v>
      </c>
      <c r="D44" s="237">
        <v>2491.33</v>
      </c>
      <c r="E44" s="237">
        <v>3179.45</v>
      </c>
      <c r="F44" s="237">
        <v>3586.59</v>
      </c>
      <c r="G44" s="237">
        <v>2231.34</v>
      </c>
      <c r="H44" s="237">
        <v>1555.61</v>
      </c>
      <c r="I44" s="237">
        <v>2248.75</v>
      </c>
      <c r="J44" s="237">
        <v>39.76</v>
      </c>
      <c r="K44" s="17">
        <f>'Income statement'!K7*'Balance sheet'!K55</f>
        <v>49.627718518644635</v>
      </c>
      <c r="L44" s="17">
        <f>'Income statement'!L7*'Balance sheet'!L55</f>
        <v>59.584529111429561</v>
      </c>
      <c r="M44" s="17">
        <f>'Income statement'!M7*'Balance sheet'!M55</f>
        <v>71.226286310022658</v>
      </c>
      <c r="N44" s="17">
        <f>'Income statement'!N7*'Balance sheet'!N55</f>
        <v>85.141365223595841</v>
      </c>
      <c r="O44" s="17">
        <f>'Income statement'!O7*'Balance sheet'!O55</f>
        <v>102.22366745260378</v>
      </c>
    </row>
    <row r="45" spans="1:15" x14ac:dyDescent="0.25">
      <c r="A45" t="s">
        <v>38</v>
      </c>
      <c r="D45" s="237">
        <v>603.21</v>
      </c>
      <c r="E45" s="237">
        <v>822.04</v>
      </c>
      <c r="F45" s="237">
        <v>1122.96</v>
      </c>
      <c r="G45" s="237">
        <v>1621.35</v>
      </c>
      <c r="H45" s="237">
        <v>2612.16</v>
      </c>
      <c r="I45" s="237">
        <v>3992.87</v>
      </c>
      <c r="J45" s="237">
        <f>3645.23+4100.86</f>
        <v>7746.09</v>
      </c>
      <c r="K45" s="17">
        <f>K56*'Income statement'!K7</f>
        <v>5050.746165454033</v>
      </c>
      <c r="L45" s="17">
        <f>L56*'Income statement'!L7</f>
        <v>6064.0775137965402</v>
      </c>
      <c r="M45" s="17">
        <f>M56*'Income statement'!M7</f>
        <v>7248.8904023408832</v>
      </c>
      <c r="N45" s="17">
        <f>N56*'Income statement'!N7</f>
        <v>8665.0653457511053</v>
      </c>
      <c r="O45" s="17">
        <f>O56*'Income statement'!O7</f>
        <v>10403.577110056265</v>
      </c>
    </row>
    <row r="46" spans="1:15" x14ac:dyDescent="0.25">
      <c r="A46" s="1" t="s">
        <v>31</v>
      </c>
      <c r="D46" s="21">
        <f>SUM(D40:D45)</f>
        <v>19487.230000000003</v>
      </c>
      <c r="E46" s="21">
        <f t="shared" ref="E46:G46" si="28">SUM(E40:E45)</f>
        <v>23087.010000000002</v>
      </c>
      <c r="F46" s="21">
        <f t="shared" si="28"/>
        <v>30706.819999999996</v>
      </c>
      <c r="G46" s="21">
        <f t="shared" si="28"/>
        <v>29146.94</v>
      </c>
      <c r="H46" s="21">
        <f t="shared" ref="H46" si="29">SUM(H40:H45)</f>
        <v>31680.13</v>
      </c>
      <c r="I46" s="21">
        <f t="shared" ref="I46" si="30">SUM(I40:I45)</f>
        <v>56007.86</v>
      </c>
      <c r="J46" s="21">
        <f t="shared" ref="J46" si="31">SUM(J40:J45)</f>
        <v>94463.92</v>
      </c>
      <c r="K46" s="21">
        <f t="shared" ref="K46" si="32">SUM(K40:K45)</f>
        <v>136074.40326496694</v>
      </c>
      <c r="L46" s="21">
        <f t="shared" ref="L46" si="33">SUM(L40:L45)</f>
        <v>177249.2661424625</v>
      </c>
      <c r="M46" s="21">
        <f t="shared" ref="M46" si="34">SUM(M40:M45)</f>
        <v>234522.98321575331</v>
      </c>
      <c r="N46" s="21">
        <f t="shared" ref="N46" si="35">SUM(N40:N45)</f>
        <v>307062.84001149406</v>
      </c>
      <c r="O46" s="21">
        <f t="shared" ref="O46" si="36">SUM(O40:O45)</f>
        <v>392931.62918072211</v>
      </c>
    </row>
    <row r="47" spans="1:15" x14ac:dyDescent="0.25">
      <c r="A47" s="1" t="s">
        <v>21</v>
      </c>
      <c r="D47" s="21">
        <f>D32+D38+D46</f>
        <v>29194.500000000007</v>
      </c>
      <c r="E47" s="21">
        <f t="shared" ref="E47:G47" si="37">E32+E38+E46</f>
        <v>36470.61</v>
      </c>
      <c r="F47" s="21">
        <f t="shared" si="37"/>
        <v>58524.929999999993</v>
      </c>
      <c r="G47" s="21">
        <f t="shared" si="37"/>
        <v>91034.36</v>
      </c>
      <c r="H47" s="21">
        <f t="shared" ref="H47" si="38">H32+H38+H46</f>
        <v>107682.45000000001</v>
      </c>
      <c r="I47" s="21">
        <f t="shared" ref="I47" si="39">I32+I38+I46</f>
        <v>130191.11</v>
      </c>
      <c r="J47" s="21">
        <f t="shared" ref="J47" si="40">J32+J38+J46</f>
        <v>152097.35999999999</v>
      </c>
      <c r="K47" s="21">
        <f t="shared" ref="K47" si="41">K32+K38+K46</f>
        <v>199787.35122496693</v>
      </c>
      <c r="L47" s="21">
        <f t="shared" ref="L47" si="42">L32+L38+L46</f>
        <v>246730.4387045425</v>
      </c>
      <c r="M47" s="21">
        <f t="shared" ref="M47" si="43">M32+M38+M46</f>
        <v>309510.57407367392</v>
      </c>
      <c r="N47" s="21">
        <f t="shared" ref="N47" si="44">N32+N38+N46</f>
        <v>387331.21564918617</v>
      </c>
      <c r="O47" s="21">
        <f t="shared" ref="O47" si="45">O32+O38+O46</f>
        <v>478282.92459939263</v>
      </c>
    </row>
    <row r="48" spans="1:15" x14ac:dyDescent="0.25">
      <c r="A48" s="16" t="s">
        <v>39</v>
      </c>
      <c r="D48" s="15">
        <f>D26-D47</f>
        <v>0</v>
      </c>
      <c r="E48" s="15">
        <f t="shared" ref="E48:O48" si="46">E26-E47</f>
        <v>0</v>
      </c>
      <c r="F48" s="15">
        <f t="shared" si="46"/>
        <v>0</v>
      </c>
      <c r="G48" s="15">
        <f t="shared" si="46"/>
        <v>0</v>
      </c>
      <c r="H48" s="15">
        <f t="shared" si="46"/>
        <v>0</v>
      </c>
      <c r="I48" s="15">
        <f t="shared" si="46"/>
        <v>0</v>
      </c>
      <c r="J48" s="40">
        <f t="shared" si="46"/>
        <v>0.23000000003958121</v>
      </c>
      <c r="K48" s="40">
        <f t="shared" si="46"/>
        <v>0.23000000003958121</v>
      </c>
      <c r="L48" s="40">
        <f t="shared" si="46"/>
        <v>0.23000000001047738</v>
      </c>
      <c r="M48" s="40">
        <f t="shared" si="46"/>
        <v>0.23000000003958121</v>
      </c>
      <c r="N48" s="40">
        <f t="shared" si="46"/>
        <v>0.22999999998137355</v>
      </c>
      <c r="O48" s="40">
        <f t="shared" si="46"/>
        <v>0.23000000009778887</v>
      </c>
    </row>
    <row r="50" spans="1:15" x14ac:dyDescent="0.25">
      <c r="A50" s="205" t="s">
        <v>400</v>
      </c>
      <c r="B50" s="205"/>
      <c r="C50" s="205"/>
      <c r="D50" s="229">
        <f>D21/('Income statement'!D14+'Income statement'!D16)</f>
        <v>3.96862186298838E-2</v>
      </c>
      <c r="E50" s="229">
        <f>E21/('Income statement'!E14+'Income statement'!E16)</f>
        <v>3.361236177509002E-2</v>
      </c>
      <c r="F50" s="229">
        <f>F21/('Income statement'!F14+'Income statement'!F16)</f>
        <v>3.8081085267282072E-2</v>
      </c>
      <c r="G50" s="229">
        <f>G21/('Income statement'!G14+'Income statement'!G16)</f>
        <v>4.2996550174571498E-2</v>
      </c>
      <c r="H50" s="229">
        <f>H21/('Income statement'!H14+'Income statement'!H16)</f>
        <v>4.7060834498286325E-2</v>
      </c>
      <c r="I50" s="229">
        <f>I21/('Income statement'!I14+'Income statement'!I16)</f>
        <v>7.0443748439024748E-2</v>
      </c>
      <c r="J50" s="229">
        <f>J21/('Income statement'!J14+'Income statement'!J16)</f>
        <v>5.8189442275744241E-2</v>
      </c>
      <c r="K50" s="234">
        <v>5.8200000000000002E-2</v>
      </c>
      <c r="L50" s="234">
        <v>5.8200000000000002E-2</v>
      </c>
      <c r="M50" s="234">
        <v>5.8200000000000002E-2</v>
      </c>
      <c r="N50" s="234">
        <v>5.8200000000000002E-2</v>
      </c>
      <c r="O50" s="234">
        <v>5.8200000000000002E-2</v>
      </c>
    </row>
    <row r="51" spans="1:15" x14ac:dyDescent="0.25">
      <c r="A51" s="205" t="s">
        <v>401</v>
      </c>
      <c r="B51" s="205"/>
      <c r="C51" s="205"/>
      <c r="D51" s="229">
        <f>D22/'Income statement'!D14</f>
        <v>0.3885217297800434</v>
      </c>
      <c r="E51" s="229">
        <f>E22/'Income statement'!E14</f>
        <v>0.44252984045268423</v>
      </c>
      <c r="F51" s="229">
        <f>F22/'Income statement'!F14</f>
        <v>0.43106750012591255</v>
      </c>
      <c r="G51" s="229">
        <f>G22/'Income statement'!G14</f>
        <v>0.47110653179197493</v>
      </c>
      <c r="H51" s="229">
        <f>H22/'Income statement'!H14</f>
        <v>0.4364710215512273</v>
      </c>
      <c r="I51" s="229">
        <f>I22/'Income statement'!I14</f>
        <v>0.37453281801111066</v>
      </c>
      <c r="J51" s="229">
        <f>J22/'Income statement'!J14</f>
        <v>0.49488921076008779</v>
      </c>
      <c r="K51" s="234">
        <f>AVERAGE(D51:J51)</f>
        <v>0.43415980749614869</v>
      </c>
      <c r="L51" s="234">
        <f>K51</f>
        <v>0.43415980749614869</v>
      </c>
      <c r="M51" s="234">
        <f t="shared" ref="M51:O56" si="47">L51</f>
        <v>0.43415980749614869</v>
      </c>
      <c r="N51" s="234">
        <f t="shared" si="47"/>
        <v>0.43415980749614869</v>
      </c>
      <c r="O51" s="234">
        <f t="shared" si="47"/>
        <v>0.43415980749614869</v>
      </c>
    </row>
    <row r="52" spans="1:15" x14ac:dyDescent="0.25">
      <c r="A52" s="205" t="s">
        <v>402</v>
      </c>
      <c r="B52" s="205"/>
      <c r="C52" s="205"/>
      <c r="D52" s="229">
        <f>D23/'Income statement'!D14</f>
        <v>0.48796803685573664</v>
      </c>
      <c r="E52" s="229">
        <f>E23/'Income statement'!E14</f>
        <v>1.0128376396989344E-2</v>
      </c>
      <c r="F52" s="229">
        <f>F23/'Income statement'!F14</f>
        <v>1.1657801032369568E-2</v>
      </c>
      <c r="G52" s="229">
        <f>G23/'Income statement'!G14</f>
        <v>0.1355046073888585</v>
      </c>
      <c r="H52" s="229">
        <f>H23/'Income statement'!H14</f>
        <v>3.5098414990289158E-2</v>
      </c>
      <c r="I52" s="229">
        <f>I23/'Income statement'!I14</f>
        <v>0.11985455543358946</v>
      </c>
      <c r="J52" s="229">
        <f>J23/'Income statement'!J14</f>
        <v>9.5699614596221234E-3</v>
      </c>
      <c r="K52" s="234">
        <v>9.5999999999999992E-3</v>
      </c>
      <c r="L52" s="234">
        <v>9.5999999999999992E-3</v>
      </c>
      <c r="M52" s="234">
        <v>9.5999999999999992E-3</v>
      </c>
      <c r="N52" s="234">
        <v>9.5999999999999992E-3</v>
      </c>
      <c r="O52" s="234">
        <v>9.5999999999999992E-3</v>
      </c>
    </row>
    <row r="53" spans="1:15" x14ac:dyDescent="0.25">
      <c r="A53" s="205" t="s">
        <v>403</v>
      </c>
      <c r="B53" s="205"/>
      <c r="C53" s="205"/>
      <c r="D53" s="229">
        <f>D41/('Income statement'!D14+'Income statement'!D16)</f>
        <v>1.6474554494842159E-2</v>
      </c>
      <c r="E53" s="229">
        <f>E41/('Income statement'!E14+'Income statement'!E16)</f>
        <v>7.9295006565146368E-3</v>
      </c>
      <c r="F53" s="229">
        <f>F41/('Income statement'!F14+'Income statement'!F16)</f>
        <v>7.517962213017702E-3</v>
      </c>
      <c r="G53" s="229">
        <f>G41/('Income statement'!G14+'Income statement'!G16)</f>
        <v>7.5252854108150899E-3</v>
      </c>
      <c r="H53" s="229">
        <f>H41/('Income statement'!H14+'Income statement'!H16)</f>
        <v>1.29217733573569E-2</v>
      </c>
      <c r="I53" s="229">
        <f>I41/('Income statement'!I14+'Income statement'!I16)</f>
        <v>1.2043031027151182E-2</v>
      </c>
      <c r="J53" s="229">
        <f>J41/('Income statement'!J14+'Income statement'!J16)</f>
        <v>1.2255983665699735E-2</v>
      </c>
      <c r="K53" s="234">
        <f>AVERAGE(D53:J53)</f>
        <v>1.09525844036282E-2</v>
      </c>
      <c r="L53" s="234">
        <f>K53</f>
        <v>1.09525844036282E-2</v>
      </c>
      <c r="M53" s="234">
        <f t="shared" si="47"/>
        <v>1.09525844036282E-2</v>
      </c>
      <c r="N53" s="234">
        <f t="shared" si="47"/>
        <v>1.09525844036282E-2</v>
      </c>
      <c r="O53" s="234">
        <f t="shared" si="47"/>
        <v>1.09525844036282E-2</v>
      </c>
    </row>
    <row r="54" spans="1:15" x14ac:dyDescent="0.25">
      <c r="A54" s="205" t="s">
        <v>404</v>
      </c>
      <c r="B54" s="205"/>
      <c r="C54" s="205"/>
      <c r="D54" s="229">
        <f>D42/'Income statement'!D7</f>
        <v>4.3454669720510673E-3</v>
      </c>
      <c r="E54" s="229">
        <f>E42/'Income statement'!E7</f>
        <v>6.9941380066347271E-3</v>
      </c>
      <c r="F54" s="229">
        <f>F42/'Income statement'!F7</f>
        <v>7.4455103861403677E-3</v>
      </c>
      <c r="G54" s="229">
        <f>G42/'Income statement'!G7</f>
        <v>8.0170311311460428E-3</v>
      </c>
      <c r="H54" s="229">
        <f>H42/'Income statement'!H7</f>
        <v>7.5078978345657164E-3</v>
      </c>
      <c r="I54" s="229">
        <f>I42/'Income statement'!I7</f>
        <v>9.7345034597159132E-3</v>
      </c>
      <c r="J54" s="229">
        <f>J42/'Income statement'!J7</f>
        <v>8.5413202012862947E-3</v>
      </c>
      <c r="K54" s="234">
        <f>AVERAGE(D54:J54)</f>
        <v>7.5122668559343053E-3</v>
      </c>
      <c r="L54" s="234">
        <f>K54</f>
        <v>7.5122668559343053E-3</v>
      </c>
      <c r="M54" s="234">
        <f t="shared" si="47"/>
        <v>7.5122668559343053E-3</v>
      </c>
      <c r="N54" s="234">
        <f t="shared" si="47"/>
        <v>7.5122668559343053E-3</v>
      </c>
      <c r="O54" s="234">
        <f t="shared" si="47"/>
        <v>7.5122668559343053E-3</v>
      </c>
    </row>
    <row r="55" spans="1:15" x14ac:dyDescent="0.25">
      <c r="A55" s="205" t="s">
        <v>405</v>
      </c>
      <c r="B55" s="205"/>
      <c r="C55" s="205"/>
      <c r="D55" s="229">
        <f>D44/'Income statement'!D7</f>
        <v>6.498974805787E-2</v>
      </c>
      <c r="E55" s="229">
        <f>E44/'Income statement'!E7</f>
        <v>5.7136464761548773E-2</v>
      </c>
      <c r="F55" s="229">
        <f>F44/'Income statement'!F7</f>
        <v>3.8971415159842357E-2</v>
      </c>
      <c r="G55" s="229">
        <f>G44/'Income statement'!G7</f>
        <v>2.0072173250343814E-2</v>
      </c>
      <c r="H55" s="229">
        <f>H44/'Income statement'!H7</f>
        <v>1.1171076949238424E-2</v>
      </c>
      <c r="I55" s="229">
        <f>I44/'Income statement'!I7</f>
        <v>1.3932854268261364E-2</v>
      </c>
      <c r="J55" s="229">
        <f>J44/'Income statement'!J7</f>
        <v>2.1398778289066493E-4</v>
      </c>
      <c r="K55" s="234">
        <v>2.0000000000000001E-4</v>
      </c>
      <c r="L55" s="234">
        <v>2.0000000000000001E-4</v>
      </c>
      <c r="M55" s="234">
        <v>2.0000000000000001E-4</v>
      </c>
      <c r="N55" s="234">
        <v>2.0000000000000001E-4</v>
      </c>
      <c r="O55" s="234">
        <v>2.0000000000000001E-4</v>
      </c>
    </row>
    <row r="56" spans="1:15" x14ac:dyDescent="0.25">
      <c r="A56" s="205" t="s">
        <v>406</v>
      </c>
      <c r="B56" s="205"/>
      <c r="C56" s="205"/>
      <c r="D56" s="229">
        <f>D45/'Income statement'!D7</f>
        <v>1.5735557283052735E-2</v>
      </c>
      <c r="E56" s="229">
        <f>E45/'Income statement'!E7</f>
        <v>1.4772510809285742E-2</v>
      </c>
      <c r="F56" s="229">
        <f>F45/'Income statement'!F7</f>
        <v>1.2201935645807458E-2</v>
      </c>
      <c r="G56" s="229">
        <f>G45/'Income statement'!G7</f>
        <v>1.4584966029132691E-2</v>
      </c>
      <c r="H56" s="229">
        <f>H45/'Income statement'!H7</f>
        <v>1.8758326549535322E-2</v>
      </c>
      <c r="I56" s="229">
        <f>I45/'Income statement'!I7</f>
        <v>2.4739110982595999E-2</v>
      </c>
      <c r="J56" s="229">
        <f>J45/'Income statement'!J7</f>
        <v>4.1689351739727133E-2</v>
      </c>
      <c r="K56" s="234">
        <f>AVERAGE(D56:J56)</f>
        <v>2.0354537005591013E-2</v>
      </c>
      <c r="L56" s="234">
        <f>K56</f>
        <v>2.0354537005591013E-2</v>
      </c>
      <c r="M56" s="234">
        <f t="shared" si="47"/>
        <v>2.0354537005591013E-2</v>
      </c>
      <c r="N56" s="234">
        <f t="shared" si="47"/>
        <v>2.0354537005591013E-2</v>
      </c>
      <c r="O56" s="234">
        <f t="shared" si="47"/>
        <v>2.0354537005591013E-2</v>
      </c>
    </row>
    <row r="57" spans="1:15" x14ac:dyDescent="0.25">
      <c r="A57" s="205" t="s">
        <v>407</v>
      </c>
      <c r="B57" s="205"/>
      <c r="C57" s="205"/>
      <c r="D57" s="229">
        <f>D14/'Income statement'!D18</f>
        <v>0.1592171275321973</v>
      </c>
      <c r="E57" s="229">
        <f>E14/'Income statement'!E18</f>
        <v>0.26271251786654631</v>
      </c>
      <c r="F57" s="229">
        <f>F14/'Income statement'!F18</f>
        <v>0.42186744694163275</v>
      </c>
      <c r="G57" s="229">
        <f>G14/'Income statement'!G18</f>
        <v>0.63799370861399951</v>
      </c>
      <c r="H57" s="229">
        <f>H14/'Income statement'!H18</f>
        <v>0.87406600073671203</v>
      </c>
      <c r="I57" s="229">
        <f>I14/'Income statement'!I18</f>
        <v>0.83275744522606843</v>
      </c>
      <c r="J57" s="229">
        <f>J14/'Income statement'!J18</f>
        <v>0.62210874768591851</v>
      </c>
      <c r="K57" s="234">
        <f>AVERAGE(G57:J57)</f>
        <v>0.74173147556567454</v>
      </c>
      <c r="L57" s="234">
        <f>K57</f>
        <v>0.74173147556567454</v>
      </c>
      <c r="M57" s="234">
        <f t="shared" ref="M57:O57" si="48">L57</f>
        <v>0.74173147556567454</v>
      </c>
      <c r="N57" s="234">
        <f t="shared" si="48"/>
        <v>0.74173147556567454</v>
      </c>
      <c r="O57" s="234">
        <f t="shared" si="48"/>
        <v>0.74173147556567454</v>
      </c>
    </row>
  </sheetData>
  <mergeCells count="1">
    <mergeCell ref="A1:C1"/>
  </mergeCells>
  <pageMargins left="0.7" right="0.7" top="0.75" bottom="0.75" header="0.3" footer="0.3"/>
  <pageSetup paperSize="9" orientation="portrait" verticalDpi="9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5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G25" sqref="G25"/>
    </sheetView>
  </sheetViews>
  <sheetFormatPr defaultRowHeight="15" x14ac:dyDescent="0.25"/>
  <cols>
    <col min="1" max="1" width="33.28515625" customWidth="1"/>
    <col min="2" max="2" width="1.85546875" customWidth="1"/>
    <col min="3" max="3" width="1.28515625" customWidth="1"/>
    <col min="4" max="4" width="10.85546875" customWidth="1"/>
    <col min="7" max="7" width="10.42578125" customWidth="1"/>
    <col min="8" max="8" width="10.85546875" customWidth="1"/>
    <col min="9" max="9" width="10.42578125" customWidth="1"/>
    <col min="10" max="12" width="15.28515625" bestFit="1" customWidth="1"/>
  </cols>
  <sheetData>
    <row r="1" spans="1:15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1" t="s">
        <v>1</v>
      </c>
    </row>
    <row r="3" spans="1:15" x14ac:dyDescent="0.25">
      <c r="A3" t="s">
        <v>2</v>
      </c>
    </row>
    <row r="4" spans="1:15" x14ac:dyDescent="0.25">
      <c r="A4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5" x14ac:dyDescent="0.25">
      <c r="A5" s="8" t="s">
        <v>4</v>
      </c>
      <c r="B5" s="5"/>
      <c r="C5" s="8"/>
      <c r="D5" s="10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5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5" x14ac:dyDescent="0.25">
      <c r="A7" s="2" t="s">
        <v>120</v>
      </c>
      <c r="C7" s="2"/>
      <c r="D7" s="19">
        <v>33909.86</v>
      </c>
      <c r="E7" s="18">
        <v>49873.04</v>
      </c>
      <c r="F7" s="18">
        <v>82666.570000000007</v>
      </c>
      <c r="G7" s="18">
        <v>99239.83</v>
      </c>
      <c r="H7" s="23">
        <v>122938.97</v>
      </c>
      <c r="I7" s="18">
        <v>140624.22</v>
      </c>
      <c r="J7" s="18">
        <v>161970.72</v>
      </c>
      <c r="K7" s="23">
        <f>'Assumptions Sheet'!K24</f>
        <v>217131.17399999997</v>
      </c>
      <c r="L7" s="23">
        <f>'Assumptions Sheet'!L24</f>
        <v>260557.40879999995</v>
      </c>
      <c r="M7" s="23">
        <f>'Assumptions Sheet'!M24</f>
        <v>312668.89055999991</v>
      </c>
      <c r="N7" s="23">
        <f>'Assumptions Sheet'!N24</f>
        <v>375202.66867199988</v>
      </c>
      <c r="O7" s="23">
        <f>'Assumptions Sheet'!O24</f>
        <v>450243.20240639994</v>
      </c>
    </row>
    <row r="8" spans="1:15" x14ac:dyDescent="0.25">
      <c r="A8" t="s">
        <v>121</v>
      </c>
      <c r="D8" s="18">
        <v>4356.6499999999996</v>
      </c>
      <c r="E8" s="18">
        <v>5680.34</v>
      </c>
      <c r="F8" s="18">
        <v>9253.44</v>
      </c>
      <c r="G8" s="18">
        <v>11553.32</v>
      </c>
      <c r="H8" s="18">
        <v>15724.94</v>
      </c>
      <c r="I8" s="18">
        <v>20019.97</v>
      </c>
      <c r="J8" s="18">
        <v>22667.58</v>
      </c>
      <c r="K8" s="18">
        <f>'Assumptions Sheet'!K26</f>
        <v>29312.708489999997</v>
      </c>
      <c r="L8" s="209">
        <f>'Assumptions Sheet'!L26</f>
        <v>35175.250187999998</v>
      </c>
      <c r="M8" s="209">
        <f>'Assumptions Sheet'!M26</f>
        <v>40646.955772799993</v>
      </c>
      <c r="N8" s="209">
        <f>'Assumptions Sheet'!N26</f>
        <v>46900.333583999985</v>
      </c>
      <c r="O8" s="209">
        <f>'Assumptions Sheet'!O26</f>
        <v>56280.400300799993</v>
      </c>
    </row>
    <row r="9" spans="1:15" x14ac:dyDescent="0.25">
      <c r="A9" t="s">
        <v>122</v>
      </c>
      <c r="D9" s="17">
        <v>67.69</v>
      </c>
      <c r="E9" s="17">
        <v>93.22</v>
      </c>
      <c r="F9" s="17">
        <v>111.29</v>
      </c>
      <c r="G9" s="17">
        <v>372.69</v>
      </c>
      <c r="H9" s="17">
        <v>589.45000000000005</v>
      </c>
      <c r="I9" s="17">
        <v>754.89</v>
      </c>
      <c r="J9" s="17">
        <f>J11-J7-J8</f>
        <v>1166.6999999999971</v>
      </c>
      <c r="K9" s="40">
        <f>'Assumptions Sheet'!K28</f>
        <v>1694.7101032231944</v>
      </c>
      <c r="L9" s="40">
        <f>'Assumptions Sheet'!L28</f>
        <v>2189.9865691478331</v>
      </c>
      <c r="M9" s="40">
        <f>'Assumptions Sheet'!M28</f>
        <v>2815.5852173133994</v>
      </c>
      <c r="N9" s="40">
        <f>'Assumptions Sheet'!N28</f>
        <v>3603.8238619792792</v>
      </c>
      <c r="O9" s="40">
        <f>'Assumptions Sheet'!O28</f>
        <v>4594.7345558189754</v>
      </c>
    </row>
    <row r="10" spans="1:15" s="205" customFormat="1" x14ac:dyDescent="0.25">
      <c r="A10" s="205" t="s">
        <v>58</v>
      </c>
      <c r="D10" s="17">
        <f>'Assumptions Sheet'!C30</f>
        <v>621.92999999999995</v>
      </c>
      <c r="E10" s="17">
        <f>'Assumptions Sheet'!D30</f>
        <v>1107.3699999999999</v>
      </c>
      <c r="F10" s="17">
        <f>'Assumptions Sheet'!E30</f>
        <v>1439.6</v>
      </c>
      <c r="G10" s="17">
        <f>'Assumptions Sheet'!F30</f>
        <v>2371.04</v>
      </c>
      <c r="H10" s="17">
        <f>'Assumptions Sheet'!G30</f>
        <v>3155.34</v>
      </c>
      <c r="I10" s="17">
        <f>'Assumptions Sheet'!H30</f>
        <v>3945.83</v>
      </c>
      <c r="J10" s="17">
        <f>'Assumptions Sheet'!I30</f>
        <v>4613.93</v>
      </c>
      <c r="K10" s="17">
        <f>'Assumptions Sheet'!J30</f>
        <v>7890.7</v>
      </c>
      <c r="L10" s="17">
        <f>'Assumptions Sheet'!K30</f>
        <v>6513.9352199999985</v>
      </c>
      <c r="M10" s="17">
        <f>'Assumptions Sheet'!L30</f>
        <v>7816.7222639999982</v>
      </c>
      <c r="N10" s="17">
        <f>'Assumptions Sheet'!M30</f>
        <v>9380.0667167999964</v>
      </c>
      <c r="O10" s="17">
        <f>'Assumptions Sheet'!N30</f>
        <v>11256.080060159997</v>
      </c>
    </row>
    <row r="11" spans="1:15" x14ac:dyDescent="0.25">
      <c r="A11" s="1" t="s">
        <v>41</v>
      </c>
      <c r="B11" s="1"/>
      <c r="C11" s="1"/>
      <c r="D11" s="21">
        <f>SUM(D7:D9)</f>
        <v>38334.200000000004</v>
      </c>
      <c r="E11" s="21">
        <f t="shared" ref="E11:N11" si="3">SUM(E7:E9)</f>
        <v>55646.600000000006</v>
      </c>
      <c r="F11" s="21">
        <f t="shared" si="3"/>
        <v>92031.3</v>
      </c>
      <c r="G11" s="21">
        <f t="shared" si="3"/>
        <v>111165.84</v>
      </c>
      <c r="H11" s="21">
        <f t="shared" si="3"/>
        <v>139253.36000000002</v>
      </c>
      <c r="I11" s="21">
        <f t="shared" si="3"/>
        <v>161399.08000000002</v>
      </c>
      <c r="J11" s="21">
        <v>185805</v>
      </c>
      <c r="K11" s="21">
        <f t="shared" si="3"/>
        <v>248138.59259322315</v>
      </c>
      <c r="L11" s="21">
        <f t="shared" si="3"/>
        <v>297922.6455571478</v>
      </c>
      <c r="M11" s="21">
        <f t="shared" si="3"/>
        <v>356131.43155011325</v>
      </c>
      <c r="N11" s="21">
        <f t="shared" si="3"/>
        <v>425706.82611797919</v>
      </c>
      <c r="O11" s="21">
        <f>SUM(O7:O9)</f>
        <v>511118.33726301888</v>
      </c>
    </row>
    <row r="13" spans="1:15" x14ac:dyDescent="0.25">
      <c r="A13" t="s">
        <v>123</v>
      </c>
      <c r="D13" s="18">
        <v>12491</v>
      </c>
      <c r="E13" s="18">
        <f>16661+1345</f>
        <v>18006</v>
      </c>
      <c r="F13" s="18">
        <f>21263+3714</f>
        <v>24977</v>
      </c>
      <c r="G13" s="18">
        <f>25760+4207</f>
        <v>29967</v>
      </c>
      <c r="H13" s="18">
        <v>35327</v>
      </c>
      <c r="I13" s="18">
        <v>42826</v>
      </c>
      <c r="J13" s="18">
        <v>54583</v>
      </c>
      <c r="K13" s="17">
        <f>'Assumptions Sheet'!K2</f>
        <v>65499.6</v>
      </c>
      <c r="L13" s="17">
        <f>'Assumptions Sheet'!L2</f>
        <v>78599.51999999999</v>
      </c>
      <c r="M13" s="17">
        <f>'Assumptions Sheet'!M2</f>
        <v>94319.423999999985</v>
      </c>
      <c r="N13" s="17">
        <f>'Assumptions Sheet'!N2</f>
        <v>113183.30879999998</v>
      </c>
      <c r="O13" s="17">
        <f>'Assumptions Sheet'!O2</f>
        <v>135819.97055999999</v>
      </c>
    </row>
    <row r="14" spans="1:15" x14ac:dyDescent="0.25">
      <c r="A14" t="s">
        <v>112</v>
      </c>
      <c r="D14">
        <v>39</v>
      </c>
      <c r="E14">
        <v>55</v>
      </c>
      <c r="F14">
        <v>66</v>
      </c>
      <c r="G14">
        <v>77</v>
      </c>
      <c r="H14">
        <v>94</v>
      </c>
      <c r="I14">
        <v>107</v>
      </c>
      <c r="J14">
        <v>131</v>
      </c>
      <c r="K14" s="40">
        <f>'Assumptions Sheet'!K17</f>
        <v>160</v>
      </c>
      <c r="L14" s="40">
        <f>'Assumptions Sheet'!L17</f>
        <v>170.86852173913041</v>
      </c>
      <c r="M14" s="40">
        <f>'Assumptions Sheet'!M17</f>
        <v>205.04222608695648</v>
      </c>
      <c r="N14" s="40">
        <f>'Assumptions Sheet'!N17</f>
        <v>246.05067130434779</v>
      </c>
      <c r="O14" s="40">
        <f>'Assumptions Sheet'!O17</f>
        <v>295.26080556521737</v>
      </c>
    </row>
    <row r="15" spans="1:15" x14ac:dyDescent="0.25">
      <c r="A15" t="s">
        <v>124</v>
      </c>
      <c r="E15" s="17">
        <f>E13/AVERAGE(D14:E14)</f>
        <v>383.10638297872339</v>
      </c>
      <c r="F15" s="17">
        <f t="shared" ref="F15:J15" si="4">F13/AVERAGE(E14:F14)</f>
        <v>412.84297520661158</v>
      </c>
      <c r="G15" s="17">
        <f t="shared" si="4"/>
        <v>419.11888111888112</v>
      </c>
      <c r="H15" s="17">
        <f t="shared" si="4"/>
        <v>413.18128654970758</v>
      </c>
      <c r="I15" s="17">
        <f t="shared" si="4"/>
        <v>426.12935323383084</v>
      </c>
      <c r="J15" s="17">
        <f t="shared" si="4"/>
        <v>458.68067226890759</v>
      </c>
      <c r="K15" s="40">
        <f>'Assumptions Sheet'!K20</f>
        <v>460</v>
      </c>
      <c r="L15" s="40">
        <f>'Assumptions Sheet'!L20</f>
        <v>460</v>
      </c>
      <c r="M15" s="40">
        <f>'Assumptions Sheet'!M20</f>
        <v>460</v>
      </c>
      <c r="N15" s="40">
        <f>'Assumptions Sheet'!N20</f>
        <v>460</v>
      </c>
      <c r="O15" s="40">
        <f>'Assumptions Sheet'!O20</f>
        <v>460</v>
      </c>
    </row>
    <row r="16" spans="1:15" x14ac:dyDescent="0.25">
      <c r="E16" s="31">
        <f>E14/D14-1</f>
        <v>0.41025641025641035</v>
      </c>
      <c r="F16" s="31">
        <f t="shared" ref="F16:O16" si="5">F14/E14-1</f>
        <v>0.19999999999999996</v>
      </c>
      <c r="G16" s="31">
        <f t="shared" si="5"/>
        <v>0.16666666666666674</v>
      </c>
      <c r="H16" s="31">
        <f t="shared" si="5"/>
        <v>0.22077922077922074</v>
      </c>
      <c r="I16" s="31">
        <f t="shared" si="5"/>
        <v>0.13829787234042556</v>
      </c>
      <c r="J16" s="31">
        <f t="shared" si="5"/>
        <v>0.22429906542056077</v>
      </c>
      <c r="K16" s="31">
        <f t="shared" si="5"/>
        <v>0.22137404580152675</v>
      </c>
      <c r="L16" s="31">
        <f t="shared" si="5"/>
        <v>6.7928260869565049E-2</v>
      </c>
      <c r="M16" s="31">
        <f t="shared" si="5"/>
        <v>0.19999999999999996</v>
      </c>
      <c r="N16" s="31">
        <f t="shared" si="5"/>
        <v>0.20000000000000018</v>
      </c>
      <c r="O16" s="31">
        <f t="shared" si="5"/>
        <v>0.20000000000000018</v>
      </c>
    </row>
    <row r="17" spans="1:18" x14ac:dyDescent="0.25">
      <c r="A17" t="s">
        <v>125</v>
      </c>
      <c r="D17" s="19">
        <v>10634</v>
      </c>
      <c r="E17" s="18">
        <f>13719+1107</f>
        <v>14826</v>
      </c>
      <c r="F17" s="18">
        <f>17176+3084</f>
        <v>20260</v>
      </c>
      <c r="G17" s="18">
        <f>19701+3435</f>
        <v>23136</v>
      </c>
      <c r="H17" s="18">
        <v>28177</v>
      </c>
      <c r="I17" s="18">
        <v>35968</v>
      </c>
      <c r="J17" s="18">
        <v>46288</v>
      </c>
      <c r="K17" s="17">
        <f>'Assumptions Sheet'!K4</f>
        <v>55674.659999999996</v>
      </c>
      <c r="L17" s="17">
        <f>'Assumptions Sheet'!L4</f>
        <v>66809.59199999999</v>
      </c>
      <c r="M17" s="17">
        <f>'Assumptions Sheet'!M4</f>
        <v>80171.510399999985</v>
      </c>
      <c r="N17" s="17">
        <f>'Assumptions Sheet'!N4</f>
        <v>96205.812479999979</v>
      </c>
      <c r="O17" s="17">
        <f>'Assumptions Sheet'!O4</f>
        <v>115446.97497599998</v>
      </c>
    </row>
    <row r="18" spans="1:18" x14ac:dyDescent="0.25">
      <c r="A18" t="s">
        <v>126</v>
      </c>
      <c r="D18" s="33">
        <v>0.85</v>
      </c>
      <c r="E18" s="33">
        <v>0.82</v>
      </c>
      <c r="F18" s="33">
        <v>0.81</v>
      </c>
      <c r="G18" s="33">
        <v>0.77</v>
      </c>
      <c r="H18" s="33">
        <v>0.79800000000000004</v>
      </c>
      <c r="I18" s="33">
        <v>0.84</v>
      </c>
      <c r="J18" s="33">
        <v>0.84799999999999998</v>
      </c>
      <c r="K18" s="65">
        <f>'Assumptions Sheet'!K5</f>
        <v>0.85</v>
      </c>
      <c r="L18" s="65">
        <f>'Assumptions Sheet'!L5</f>
        <v>0.85</v>
      </c>
      <c r="M18" s="65">
        <f>'Assumptions Sheet'!M5</f>
        <v>0.85</v>
      </c>
      <c r="N18" s="65">
        <f>'Assumptions Sheet'!N5</f>
        <v>0.85</v>
      </c>
      <c r="O18" s="65">
        <f>'Assumptions Sheet'!O5</f>
        <v>0.85</v>
      </c>
    </row>
    <row r="19" spans="1:18" x14ac:dyDescent="0.25">
      <c r="A19" t="s">
        <v>127</v>
      </c>
      <c r="D19">
        <v>3.19</v>
      </c>
      <c r="E19">
        <v>3.36</v>
      </c>
      <c r="F19">
        <v>4.08</v>
      </c>
      <c r="G19">
        <v>4.29</v>
      </c>
      <c r="H19" s="22">
        <f>H7/H17</f>
        <v>4.3630964971430597</v>
      </c>
      <c r="I19" s="22">
        <v>3.91</v>
      </c>
      <c r="J19" s="22">
        <v>3.5</v>
      </c>
      <c r="K19" s="36">
        <f>'Assumptions Sheet'!K7</f>
        <v>3.9</v>
      </c>
      <c r="L19" s="36">
        <f>'Assumptions Sheet'!L7</f>
        <v>3.9</v>
      </c>
      <c r="M19" s="36">
        <f>'Assumptions Sheet'!M7</f>
        <v>3.9</v>
      </c>
      <c r="N19" s="36">
        <f>'Assumptions Sheet'!N7</f>
        <v>3.9</v>
      </c>
      <c r="O19" s="36">
        <f>'Assumptions Sheet'!O7</f>
        <v>3.9</v>
      </c>
      <c r="Q19" s="33">
        <f>O20</f>
        <v>0</v>
      </c>
      <c r="R19" s="36">
        <v>85</v>
      </c>
    </row>
    <row r="20" spans="1:18" x14ac:dyDescent="0.25">
      <c r="Q20" s="33">
        <f>100%-Q19</f>
        <v>1</v>
      </c>
      <c r="R20" s="40">
        <v>100</v>
      </c>
    </row>
    <row r="21" spans="1:18" x14ac:dyDescent="0.25">
      <c r="A21" s="62"/>
      <c r="D21" s="34"/>
      <c r="E21" s="34"/>
      <c r="F21" s="34"/>
      <c r="G21" s="34"/>
      <c r="H21" s="34"/>
      <c r="I21" s="34"/>
      <c r="J21" s="34"/>
      <c r="K21" s="35"/>
      <c r="L21" s="35"/>
      <c r="M21" s="35"/>
      <c r="N21" s="35"/>
      <c r="O21" s="35"/>
      <c r="R21">
        <f>SUMPRODUCT(R19:R20,Q19:Q20)</f>
        <v>100</v>
      </c>
    </row>
    <row r="23" spans="1:18" x14ac:dyDescent="0.25">
      <c r="D23" s="18"/>
      <c r="E23" s="18"/>
      <c r="F23" s="18"/>
      <c r="G23" s="18"/>
      <c r="H23" s="18"/>
      <c r="I23" s="18"/>
      <c r="J23" s="18"/>
    </row>
    <row r="24" spans="1:18" x14ac:dyDescent="0.25">
      <c r="D24" s="18"/>
      <c r="E24" s="18"/>
      <c r="F24" s="18"/>
      <c r="G24" s="18"/>
      <c r="H24" s="18"/>
      <c r="I24" s="18"/>
    </row>
    <row r="27" spans="1:18" x14ac:dyDescent="0.25">
      <c r="I27" s="96"/>
      <c r="J27" s="96"/>
    </row>
    <row r="28" spans="1:18" x14ac:dyDescent="0.25">
      <c r="I28" s="96"/>
      <c r="J28" s="97"/>
      <c r="K28" s="14"/>
      <c r="L28" s="14"/>
    </row>
    <row r="29" spans="1:18" x14ac:dyDescent="0.25">
      <c r="I29" s="96"/>
      <c r="J29" s="97"/>
      <c r="K29" s="14"/>
      <c r="L29" s="14"/>
    </row>
    <row r="30" spans="1:18" x14ac:dyDescent="0.25">
      <c r="I30" s="96"/>
      <c r="J30" s="97"/>
      <c r="K30" s="14"/>
      <c r="L30" s="14"/>
    </row>
    <row r="31" spans="1:18" x14ac:dyDescent="0.25">
      <c r="I31" s="96"/>
      <c r="J31" s="97"/>
      <c r="K31" s="14"/>
      <c r="L31" s="14"/>
    </row>
    <row r="32" spans="1:18" x14ac:dyDescent="0.25">
      <c r="I32" s="96"/>
      <c r="J32" s="97"/>
      <c r="K32" s="14"/>
      <c r="L32" s="14"/>
    </row>
    <row r="33" spans="9:12" x14ac:dyDescent="0.25">
      <c r="I33" s="96"/>
      <c r="J33" s="97"/>
      <c r="K33" s="14"/>
      <c r="L33" s="14"/>
    </row>
    <row r="34" spans="9:12" x14ac:dyDescent="0.25">
      <c r="I34" s="96"/>
      <c r="J34" s="97"/>
      <c r="K34" s="14"/>
      <c r="L34" s="14"/>
    </row>
    <row r="35" spans="9:12" x14ac:dyDescent="0.25">
      <c r="I35" s="96"/>
      <c r="J35" s="14"/>
      <c r="K35" s="14"/>
      <c r="L35" s="14"/>
    </row>
  </sheetData>
  <mergeCells count="1">
    <mergeCell ref="A1:C1"/>
  </mergeCells>
  <pageMargins left="0.7" right="0.7" top="0.75" bottom="0.75" header="0.3" footer="0.3"/>
  <pageSetup paperSize="9" orientation="portrait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J16" sqref="J16"/>
    </sheetView>
  </sheetViews>
  <sheetFormatPr defaultRowHeight="15" x14ac:dyDescent="0.25"/>
  <cols>
    <col min="1" max="1" width="33.28515625" style="205" customWidth="1"/>
    <col min="2" max="2" width="1.85546875" style="205" customWidth="1"/>
    <col min="3" max="3" width="1.28515625" style="205" customWidth="1"/>
    <col min="4" max="4" width="10.85546875" style="205" customWidth="1"/>
    <col min="5" max="16384" width="9.140625" style="205"/>
  </cols>
  <sheetData>
    <row r="1" spans="1:15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1" t="s">
        <v>1</v>
      </c>
    </row>
    <row r="3" spans="1:15" x14ac:dyDescent="0.25">
      <c r="A3" s="205" t="s">
        <v>2</v>
      </c>
    </row>
    <row r="4" spans="1:15" x14ac:dyDescent="0.25">
      <c r="A4" s="205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5" x14ac:dyDescent="0.25">
      <c r="A5" s="8" t="s">
        <v>4</v>
      </c>
      <c r="B5" s="5"/>
      <c r="C5" s="8"/>
      <c r="D5" s="10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5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5" x14ac:dyDescent="0.25">
      <c r="A7" s="2" t="s">
        <v>107</v>
      </c>
      <c r="C7" s="2"/>
      <c r="D7" s="248">
        <v>6603</v>
      </c>
      <c r="E7" s="237">
        <f>D10</f>
        <v>8069.76</v>
      </c>
      <c r="F7" s="237">
        <f t="shared" ref="F7:O7" si="3">E10</f>
        <v>9055.48</v>
      </c>
      <c r="G7" s="237">
        <f t="shared" si="3"/>
        <v>16173.32</v>
      </c>
      <c r="H7" s="237">
        <f t="shared" si="3"/>
        <v>30807.4</v>
      </c>
      <c r="I7" s="237">
        <f t="shared" si="3"/>
        <v>35884.019999999997</v>
      </c>
      <c r="J7" s="237">
        <f t="shared" si="3"/>
        <v>29498.61</v>
      </c>
      <c r="K7" s="209">
        <f>J10</f>
        <v>23957.08</v>
      </c>
      <c r="L7" s="209">
        <f t="shared" si="3"/>
        <v>31580.420000000002</v>
      </c>
      <c r="M7" s="209">
        <f t="shared" si="3"/>
        <v>38806.582499999997</v>
      </c>
      <c r="N7" s="209">
        <f t="shared" si="3"/>
        <v>45894.744999999995</v>
      </c>
      <c r="O7" s="209">
        <f t="shared" si="3"/>
        <v>52844.907499999994</v>
      </c>
    </row>
    <row r="8" spans="1:15" x14ac:dyDescent="0.25">
      <c r="A8" s="32" t="s">
        <v>383</v>
      </c>
      <c r="D8" s="238"/>
      <c r="E8" s="238"/>
      <c r="F8" s="238"/>
      <c r="G8" s="238"/>
      <c r="H8" s="238"/>
      <c r="I8" s="238"/>
      <c r="J8" s="238"/>
      <c r="K8" s="209">
        <f>'Asset Schedule '!K9</f>
        <v>9828</v>
      </c>
      <c r="L8" s="209">
        <f>'Asset Schedule '!L9</f>
        <v>10140</v>
      </c>
      <c r="M8" s="209">
        <f>'Asset Schedule '!M9</f>
        <v>10452</v>
      </c>
      <c r="N8" s="209">
        <f>'Asset Schedule '!N9</f>
        <v>10764</v>
      </c>
      <c r="O8" s="209">
        <f>'Asset Schedule '!O9</f>
        <v>11076</v>
      </c>
    </row>
    <row r="9" spans="1:15" x14ac:dyDescent="0.25">
      <c r="A9" s="32" t="s">
        <v>390</v>
      </c>
      <c r="D9" s="238"/>
      <c r="E9" s="238"/>
      <c r="F9" s="238"/>
      <c r="G9" s="238"/>
      <c r="H9" s="238"/>
      <c r="I9" s="238"/>
      <c r="J9" s="238"/>
      <c r="K9" s="17">
        <f>-(2004.66+200)</f>
        <v>-2204.66</v>
      </c>
      <c r="L9" s="17">
        <f>-(9055.35/4+450+200)</f>
        <v>-2913.8375000000001</v>
      </c>
      <c r="M9" s="17">
        <f>-(9055.35/4+450*2+200)</f>
        <v>-3363.8375000000001</v>
      </c>
      <c r="N9" s="17">
        <f>-(9055.35/4+450*3+200)</f>
        <v>-3813.8375000000001</v>
      </c>
      <c r="O9" s="17">
        <f>-(9055.35/4+450*4+200)</f>
        <v>-4263.8374999999996</v>
      </c>
    </row>
    <row r="10" spans="1:15" x14ac:dyDescent="0.25">
      <c r="A10" s="32" t="s">
        <v>108</v>
      </c>
      <c r="D10" s="237">
        <v>8069.76</v>
      </c>
      <c r="E10" s="237">
        <v>9055.48</v>
      </c>
      <c r="F10" s="237">
        <v>16173.32</v>
      </c>
      <c r="G10" s="237">
        <v>30807.4</v>
      </c>
      <c r="H10" s="237">
        <v>35884.019999999997</v>
      </c>
      <c r="I10" s="237">
        <v>29498.61</v>
      </c>
      <c r="J10" s="237">
        <v>23957.08</v>
      </c>
      <c r="K10" s="209">
        <f>SUM(K7:K9)</f>
        <v>31580.420000000002</v>
      </c>
      <c r="L10" s="209">
        <f t="shared" ref="L10:O10" si="4">SUM(L7:L9)</f>
        <v>38806.582499999997</v>
      </c>
      <c r="M10" s="209">
        <f t="shared" si="4"/>
        <v>45894.744999999995</v>
      </c>
      <c r="N10" s="209">
        <f t="shared" si="4"/>
        <v>52844.907499999994</v>
      </c>
      <c r="O10" s="209">
        <f t="shared" si="4"/>
        <v>59657.069999999992</v>
      </c>
    </row>
    <row r="11" spans="1:15" x14ac:dyDescent="0.25">
      <c r="D11" s="238"/>
      <c r="E11" s="238"/>
      <c r="F11" s="238"/>
      <c r="G11" s="238"/>
      <c r="H11" s="238"/>
      <c r="I11" s="238"/>
      <c r="J11" s="238"/>
    </row>
    <row r="12" spans="1:15" x14ac:dyDescent="0.25">
      <c r="A12" s="205" t="s">
        <v>391</v>
      </c>
      <c r="D12" s="247">
        <v>449.91</v>
      </c>
      <c r="E12" s="247">
        <v>514.27</v>
      </c>
      <c r="F12" s="247">
        <v>578.01</v>
      </c>
      <c r="G12" s="247">
        <v>1225.77</v>
      </c>
      <c r="H12" s="247">
        <v>1155.32</v>
      </c>
      <c r="I12" s="247">
        <v>1348.53</v>
      </c>
      <c r="J12" s="247">
        <v>1348.53</v>
      </c>
      <c r="K12" s="17">
        <f>AVERAGE(K7,K10)*K13</f>
        <v>1527.28125</v>
      </c>
      <c r="L12" s="17">
        <f t="shared" ref="L12:O12" si="5">AVERAGE(L7,L10)*L13</f>
        <v>2111.6100750000001</v>
      </c>
      <c r="M12" s="17">
        <f t="shared" si="5"/>
        <v>2541.0398249999994</v>
      </c>
      <c r="N12" s="17">
        <f t="shared" si="5"/>
        <v>2962.1895749999999</v>
      </c>
      <c r="O12" s="17">
        <f t="shared" si="5"/>
        <v>3375.0593249999993</v>
      </c>
    </row>
    <row r="13" spans="1:15" x14ac:dyDescent="0.25">
      <c r="A13" s="205" t="s">
        <v>392</v>
      </c>
      <c r="D13" s="249">
        <f>D12/AVERAGE(D7,D10)</f>
        <v>6.1325885518470964E-2</v>
      </c>
      <c r="E13" s="249">
        <f t="shared" ref="E13:I13" si="6">E12/AVERAGE(E7,E10)</f>
        <v>6.005988821178565E-2</v>
      </c>
      <c r="F13" s="249">
        <f t="shared" si="6"/>
        <v>4.5821442161339425E-2</v>
      </c>
      <c r="G13" s="249">
        <f t="shared" si="6"/>
        <v>5.2181831185218103E-2</v>
      </c>
      <c r="H13" s="249">
        <f t="shared" si="6"/>
        <v>3.4646735667046825E-2</v>
      </c>
      <c r="I13" s="249">
        <f t="shared" si="6"/>
        <v>4.1250405497606932E-2</v>
      </c>
      <c r="J13" s="249">
        <f>J12/AVERAGE(J7,J10)</f>
        <v>5.0454123779900696E-2</v>
      </c>
      <c r="K13" s="35">
        <v>5.5E-2</v>
      </c>
      <c r="L13" s="35">
        <v>0.06</v>
      </c>
      <c r="M13" s="35">
        <v>0.06</v>
      </c>
      <c r="N13" s="35">
        <v>0.06</v>
      </c>
      <c r="O13" s="35">
        <v>0.06</v>
      </c>
    </row>
    <row r="16" spans="1:15" x14ac:dyDescent="0.25">
      <c r="D16" s="5"/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K16" sqref="K16"/>
    </sheetView>
  </sheetViews>
  <sheetFormatPr defaultRowHeight="15" x14ac:dyDescent="0.25"/>
  <cols>
    <col min="1" max="1" width="33.28515625" style="205" customWidth="1"/>
    <col min="2" max="2" width="1.85546875" style="205" customWidth="1"/>
    <col min="3" max="3" width="1.28515625" style="205" customWidth="1"/>
    <col min="4" max="4" width="10.85546875" style="205" customWidth="1"/>
    <col min="5" max="16384" width="9.140625" style="205"/>
  </cols>
  <sheetData>
    <row r="1" spans="1:15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1" t="s">
        <v>1</v>
      </c>
    </row>
    <row r="3" spans="1:15" x14ac:dyDescent="0.25">
      <c r="A3" s="205" t="s">
        <v>2</v>
      </c>
    </row>
    <row r="4" spans="1:15" x14ac:dyDescent="0.25">
      <c r="A4" s="205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5" x14ac:dyDescent="0.25">
      <c r="A5" s="8" t="s">
        <v>4</v>
      </c>
      <c r="B5" s="5"/>
      <c r="C5" s="8"/>
      <c r="D5" s="10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5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5" x14ac:dyDescent="0.25">
      <c r="A7" s="205" t="s">
        <v>393</v>
      </c>
      <c r="C7" s="2"/>
      <c r="D7" s="239">
        <v>4678.16</v>
      </c>
      <c r="E7" s="237">
        <v>8748.39</v>
      </c>
      <c r="F7" s="236">
        <v>11677.54</v>
      </c>
      <c r="G7" s="236">
        <v>13654.32</v>
      </c>
      <c r="H7" s="237">
        <v>13317.44</v>
      </c>
      <c r="I7" s="237">
        <v>11778.16</v>
      </c>
      <c r="J7" s="237">
        <v>16899.900000000001</v>
      </c>
      <c r="K7" s="44">
        <f>J7+K12-K8</f>
        <v>22271.942000000003</v>
      </c>
      <c r="L7" s="44">
        <f t="shared" ref="L7:O7" si="3">K7+L12-L8</f>
        <v>17591.190707826077</v>
      </c>
      <c r="M7" s="44">
        <f t="shared" si="3"/>
        <v>24897.583480104331</v>
      </c>
      <c r="N7" s="44">
        <f t="shared" si="3"/>
        <v>32074.229861938773</v>
      </c>
      <c r="O7" s="44">
        <f t="shared" si="3"/>
        <v>39763.41105209841</v>
      </c>
    </row>
    <row r="8" spans="1:15" x14ac:dyDescent="0.25">
      <c r="A8" s="205" t="s">
        <v>394</v>
      </c>
      <c r="D8" s="236">
        <v>2220.83</v>
      </c>
      <c r="E8" s="236">
        <v>3055.37</v>
      </c>
      <c r="F8" s="236">
        <v>3626.58</v>
      </c>
      <c r="G8" s="237">
        <v>3878.42</v>
      </c>
      <c r="H8" s="236">
        <v>4199.0200000000004</v>
      </c>
      <c r="I8" s="236">
        <v>4054.07</v>
      </c>
      <c r="J8" s="237">
        <v>4937.83</v>
      </c>
      <c r="K8" s="17">
        <f>J7*K16</f>
        <v>7097.9580000000005</v>
      </c>
      <c r="L8" s="17">
        <f t="shared" ref="L8:O8" si="4">K7*L16</f>
        <v>9354.2156400000003</v>
      </c>
      <c r="M8" s="17">
        <f t="shared" si="4"/>
        <v>7388.3000972869522</v>
      </c>
      <c r="N8" s="17">
        <f t="shared" si="4"/>
        <v>10456.985061643818</v>
      </c>
      <c r="O8" s="17">
        <f t="shared" si="4"/>
        <v>13471.176542014284</v>
      </c>
    </row>
    <row r="10" spans="1:15" x14ac:dyDescent="0.25">
      <c r="A10" s="205" t="s">
        <v>395</v>
      </c>
      <c r="E10" s="205">
        <f>'Revenue Matrix'!E14-'Revenue Matrix'!D14</f>
        <v>16</v>
      </c>
      <c r="F10" s="205">
        <f>'Revenue Matrix'!F14-'Revenue Matrix'!E14</f>
        <v>11</v>
      </c>
      <c r="G10" s="205">
        <f>'Revenue Matrix'!G14-'Revenue Matrix'!F14</f>
        <v>11</v>
      </c>
      <c r="H10" s="205">
        <f>'Revenue Matrix'!H14-'Revenue Matrix'!G14</f>
        <v>17</v>
      </c>
      <c r="I10" s="205">
        <f>'Revenue Matrix'!I14-'Revenue Matrix'!H14</f>
        <v>13</v>
      </c>
      <c r="J10" s="205">
        <f>'Revenue Matrix'!J14-'Revenue Matrix'!I14</f>
        <v>24</v>
      </c>
      <c r="K10" s="205">
        <f>'Revenue Matrix'!K14-'Revenue Matrix'!J14</f>
        <v>29</v>
      </c>
      <c r="L10" s="17">
        <f>'Revenue Matrix'!L14-'Revenue Matrix'!K14</f>
        <v>10.868521739130415</v>
      </c>
      <c r="M10" s="17">
        <f>'Revenue Matrix'!M14-'Revenue Matrix'!L14</f>
        <v>34.17370434782606</v>
      </c>
      <c r="N10" s="17">
        <f>'Revenue Matrix'!N14-'Revenue Matrix'!M14</f>
        <v>41.008445217391312</v>
      </c>
      <c r="O10" s="17">
        <f>'Revenue Matrix'!O14-'Revenue Matrix'!N14</f>
        <v>49.21013426086958</v>
      </c>
    </row>
    <row r="12" spans="1:15" x14ac:dyDescent="0.25">
      <c r="A12" s="205" t="s">
        <v>396</v>
      </c>
      <c r="E12" s="209">
        <f>E7-D7+E8</f>
        <v>7125.5999999999995</v>
      </c>
      <c r="F12" s="209">
        <f t="shared" ref="F12:J12" si="5">F7-E7+F8</f>
        <v>6555.7300000000014</v>
      </c>
      <c r="G12" s="209">
        <f t="shared" si="5"/>
        <v>5855.1999999999989</v>
      </c>
      <c r="H12" s="209">
        <f t="shared" si="5"/>
        <v>3862.1400000000012</v>
      </c>
      <c r="I12" s="209">
        <f t="shared" si="5"/>
        <v>2514.7899999999995</v>
      </c>
      <c r="J12" s="209">
        <f t="shared" si="5"/>
        <v>10059.570000000002</v>
      </c>
      <c r="K12" s="209">
        <f>K10*K14</f>
        <v>12470</v>
      </c>
      <c r="L12" s="209">
        <f t="shared" ref="L12:O12" si="6">L10*L14</f>
        <v>4673.4643478260787</v>
      </c>
      <c r="M12" s="209">
        <f t="shared" si="6"/>
        <v>14694.692869565206</v>
      </c>
      <c r="N12" s="209">
        <f t="shared" si="6"/>
        <v>17633.631443478265</v>
      </c>
      <c r="O12" s="209">
        <f t="shared" si="6"/>
        <v>21160.357732173921</v>
      </c>
    </row>
    <row r="14" spans="1:15" x14ac:dyDescent="0.25">
      <c r="A14" s="205" t="s">
        <v>397</v>
      </c>
      <c r="E14" s="17">
        <f>E12/E10</f>
        <v>445.34999999999997</v>
      </c>
      <c r="F14" s="17">
        <f t="shared" ref="F14:J14" si="7">F12/F10</f>
        <v>595.97545454545468</v>
      </c>
      <c r="G14" s="17">
        <f t="shared" si="7"/>
        <v>532.29090909090894</v>
      </c>
      <c r="H14" s="17">
        <f t="shared" si="7"/>
        <v>227.184705882353</v>
      </c>
      <c r="I14" s="17">
        <f t="shared" si="7"/>
        <v>193.44538461538457</v>
      </c>
      <c r="J14" s="17">
        <f t="shared" si="7"/>
        <v>419.14875000000006</v>
      </c>
      <c r="K14" s="15">
        <v>430</v>
      </c>
      <c r="L14" s="15">
        <v>430</v>
      </c>
      <c r="M14" s="15">
        <v>430</v>
      </c>
      <c r="N14" s="15">
        <v>430</v>
      </c>
      <c r="O14" s="15">
        <v>430</v>
      </c>
    </row>
    <row r="16" spans="1:15" x14ac:dyDescent="0.25">
      <c r="A16" s="205" t="s">
        <v>398</v>
      </c>
      <c r="D16" s="5"/>
      <c r="E16" s="31">
        <f>E8/D7</f>
        <v>0.65311361731962991</v>
      </c>
      <c r="F16" s="31">
        <f t="shared" ref="F16:J16" si="8">F8/E7</f>
        <v>0.41454256154561014</v>
      </c>
      <c r="G16" s="31">
        <f t="shared" si="8"/>
        <v>0.33212645814101255</v>
      </c>
      <c r="H16" s="31">
        <f t="shared" si="8"/>
        <v>0.30752318680095386</v>
      </c>
      <c r="I16" s="31">
        <f t="shared" si="8"/>
        <v>0.30441811639474253</v>
      </c>
      <c r="J16" s="31">
        <f t="shared" si="8"/>
        <v>0.41923611158279389</v>
      </c>
      <c r="K16" s="38">
        <v>0.42</v>
      </c>
      <c r="L16" s="38">
        <v>0.42</v>
      </c>
      <c r="M16" s="38">
        <v>0.42</v>
      </c>
      <c r="N16" s="38">
        <v>0.42</v>
      </c>
      <c r="O16" s="38">
        <v>0.42</v>
      </c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2"/>
  <sheetViews>
    <sheetView workbookViewId="0">
      <pane xSplit="3" ySplit="6" topLeftCell="D43" activePane="bottomRight" state="frozen"/>
      <selection pane="topRight" activeCell="D1" sqref="D1"/>
      <selection pane="bottomLeft" activeCell="A7" sqref="A7"/>
      <selection pane="bottomRight" activeCell="O46" sqref="O46"/>
    </sheetView>
  </sheetViews>
  <sheetFormatPr defaultRowHeight="15" x14ac:dyDescent="0.25"/>
  <cols>
    <col min="1" max="1" width="41.42578125" customWidth="1"/>
    <col min="2" max="2" width="1.85546875" customWidth="1"/>
    <col min="3" max="3" width="1.28515625" customWidth="1"/>
    <col min="4" max="4" width="10.85546875" customWidth="1"/>
  </cols>
  <sheetData>
    <row r="1" spans="1:15" ht="27" customHeight="1" x14ac:dyDescent="0.45">
      <c r="A1" s="320" t="s">
        <v>0</v>
      </c>
      <c r="B1" s="320"/>
      <c r="C1" s="32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1" t="s">
        <v>1</v>
      </c>
    </row>
    <row r="3" spans="1:15" x14ac:dyDescent="0.25">
      <c r="A3" t="s">
        <v>2</v>
      </c>
    </row>
    <row r="4" spans="1:15" x14ac:dyDescent="0.25">
      <c r="A4" t="s">
        <v>3</v>
      </c>
      <c r="B4" s="9"/>
      <c r="C4" s="5"/>
      <c r="D4" s="5"/>
      <c r="E4" s="9"/>
      <c r="F4" s="9"/>
      <c r="G4" s="9"/>
      <c r="H4" s="5"/>
      <c r="K4" s="9"/>
      <c r="L4" s="9"/>
      <c r="M4" s="9"/>
      <c r="N4" s="9"/>
    </row>
    <row r="5" spans="1:15" x14ac:dyDescent="0.25">
      <c r="A5" s="8" t="s">
        <v>4</v>
      </c>
      <c r="B5" s="5"/>
      <c r="C5" s="8"/>
      <c r="D5" s="235">
        <v>40633</v>
      </c>
      <c r="E5" s="3">
        <f>EOMONTH(D5,12)</f>
        <v>40999</v>
      </c>
      <c r="F5" s="3">
        <f t="shared" ref="F5:O5" si="0">EOMONTH(E5,12)</f>
        <v>41364</v>
      </c>
      <c r="G5" s="3">
        <f t="shared" si="0"/>
        <v>41729</v>
      </c>
      <c r="H5" s="10">
        <f t="shared" si="0"/>
        <v>42094</v>
      </c>
      <c r="I5" s="10">
        <f t="shared" si="0"/>
        <v>42460</v>
      </c>
      <c r="J5" s="10">
        <f t="shared" si="0"/>
        <v>42825</v>
      </c>
      <c r="K5" s="3">
        <f t="shared" si="0"/>
        <v>43190</v>
      </c>
      <c r="L5" s="3">
        <f>EOMONTH(K5,12)</f>
        <v>43555</v>
      </c>
      <c r="M5" s="3">
        <f t="shared" si="0"/>
        <v>43921</v>
      </c>
      <c r="N5" s="3">
        <f t="shared" si="0"/>
        <v>44286</v>
      </c>
      <c r="O5" s="10">
        <f t="shared" si="0"/>
        <v>44651</v>
      </c>
    </row>
    <row r="6" spans="1:15" x14ac:dyDescent="0.25">
      <c r="A6" s="5" t="s">
        <v>5</v>
      </c>
      <c r="B6" s="4"/>
      <c r="C6" s="5"/>
      <c r="D6" s="13">
        <f>YEAR(D5)</f>
        <v>2011</v>
      </c>
      <c r="E6" s="13">
        <f t="shared" ref="E6:I6" si="1">YEAR(E5)</f>
        <v>2012</v>
      </c>
      <c r="F6" s="13">
        <f t="shared" si="1"/>
        <v>2013</v>
      </c>
      <c r="G6" s="13">
        <f t="shared" si="1"/>
        <v>2014</v>
      </c>
      <c r="H6" s="6">
        <f t="shared" si="1"/>
        <v>2015</v>
      </c>
      <c r="I6" s="13">
        <f t="shared" si="1"/>
        <v>2016</v>
      </c>
      <c r="J6" s="13">
        <f>YEAR(J5)</f>
        <v>2017</v>
      </c>
      <c r="K6" s="12">
        <f t="shared" ref="K6:O6" si="2">YEAR(K5)</f>
        <v>2018</v>
      </c>
      <c r="L6" s="11">
        <f t="shared" si="2"/>
        <v>2019</v>
      </c>
      <c r="M6" s="11">
        <f t="shared" si="2"/>
        <v>2020</v>
      </c>
      <c r="N6" s="11">
        <f t="shared" si="2"/>
        <v>2021</v>
      </c>
      <c r="O6" s="11">
        <f t="shared" si="2"/>
        <v>2022</v>
      </c>
    </row>
    <row r="7" spans="1:15" x14ac:dyDescent="0.25">
      <c r="A7" s="28" t="s">
        <v>68</v>
      </c>
      <c r="C7" s="2"/>
      <c r="D7" s="5"/>
      <c r="H7" s="8"/>
      <c r="K7" s="8"/>
    </row>
    <row r="8" spans="1:15" x14ac:dyDescent="0.25">
      <c r="A8" t="s">
        <v>69</v>
      </c>
      <c r="D8" s="237">
        <v>7147.5</v>
      </c>
      <c r="E8" s="237">
        <v>749.04</v>
      </c>
      <c r="F8" s="237">
        <v>9873.18</v>
      </c>
      <c r="G8" s="237">
        <v>4718.97</v>
      </c>
      <c r="H8" s="237">
        <v>18465.23</v>
      </c>
      <c r="I8" s="237">
        <v>28289.5</v>
      </c>
      <c r="J8" s="237">
        <v>21442.99</v>
      </c>
      <c r="K8" s="18">
        <f>'Income statement'!K25</f>
        <v>49311.336333911669</v>
      </c>
      <c r="L8" s="209">
        <f>'Income statement'!L25</f>
        <v>55189.79875489133</v>
      </c>
      <c r="M8" s="209">
        <f>'Income statement'!M25</f>
        <v>67886.166077145957</v>
      </c>
      <c r="N8" s="209">
        <f>'Income statement'!N25</f>
        <v>81069.829609699154</v>
      </c>
      <c r="O8" s="209">
        <f>'Income statement'!O25</f>
        <v>97575.946343380609</v>
      </c>
    </row>
    <row r="9" spans="1:15" x14ac:dyDescent="0.25">
      <c r="A9" t="s">
        <v>70</v>
      </c>
      <c r="D9" s="18"/>
      <c r="E9" s="18"/>
      <c r="F9" s="18"/>
      <c r="G9" s="18"/>
      <c r="H9" s="18"/>
      <c r="I9" s="18"/>
      <c r="J9" s="18"/>
    </row>
    <row r="10" spans="1:15" x14ac:dyDescent="0.25">
      <c r="A10" t="s">
        <v>54</v>
      </c>
      <c r="D10" s="237">
        <v>628.70000000000005</v>
      </c>
      <c r="E10" s="237">
        <v>665.23</v>
      </c>
      <c r="F10" s="237">
        <v>856.2</v>
      </c>
      <c r="G10" s="237">
        <v>2260.08</v>
      </c>
      <c r="H10" s="237">
        <v>3022.14</v>
      </c>
      <c r="I10" s="237">
        <v>5030.79</v>
      </c>
      <c r="J10" s="237">
        <v>4572.53</v>
      </c>
      <c r="K10" s="17">
        <f>'Income statement'!K22</f>
        <v>4186.4920400000001</v>
      </c>
      <c r="L10" s="17">
        <f>'Income statement'!L22</f>
        <v>4809.7753979199997</v>
      </c>
      <c r="M10" s="17">
        <f>'Income statement'!M22</f>
        <v>5383.58170415936</v>
      </c>
      <c r="N10" s="17">
        <f>'Income statement'!N22</f>
        <v>5921.2152202285388</v>
      </c>
      <c r="O10" s="17">
        <f>'Income statement'!O22</f>
        <v>6431.0802190215809</v>
      </c>
    </row>
    <row r="11" spans="1:15" x14ac:dyDescent="0.25">
      <c r="A11" t="s">
        <v>71</v>
      </c>
      <c r="D11" s="237">
        <f>30.5+37.38</f>
        <v>67.88</v>
      </c>
      <c r="E11" s="237">
        <f>42.34+1.17+11.61</f>
        <v>55.120000000000005</v>
      </c>
      <c r="F11" s="237">
        <f>58.93-0.42+70.68</f>
        <v>129.19</v>
      </c>
      <c r="G11" s="237">
        <f>62.73+0.24+23.71</f>
        <v>86.68</v>
      </c>
      <c r="H11" s="237">
        <f>63.37+71.45+21.34</f>
        <v>156.16</v>
      </c>
      <c r="I11" s="237">
        <f>82.48+31.62</f>
        <v>114.10000000000001</v>
      </c>
      <c r="J11" s="237">
        <f>286.55+1670.58</f>
        <v>1957.1299999999999</v>
      </c>
      <c r="K11" s="177" t="s">
        <v>213</v>
      </c>
      <c r="L11" s="177" t="s">
        <v>213</v>
      </c>
      <c r="M11" s="177" t="s">
        <v>213</v>
      </c>
      <c r="N11" s="177" t="s">
        <v>213</v>
      </c>
      <c r="O11" s="177" t="s">
        <v>213</v>
      </c>
    </row>
    <row r="12" spans="1:15" ht="15" customHeight="1" x14ac:dyDescent="0.25">
      <c r="A12" t="s">
        <v>72</v>
      </c>
      <c r="D12" s="237">
        <v>-222.48</v>
      </c>
      <c r="E12" s="237">
        <v>1.07</v>
      </c>
      <c r="F12" s="237">
        <v>0.6</v>
      </c>
      <c r="G12" s="237">
        <v>-0.66</v>
      </c>
      <c r="H12" s="237">
        <v>0.13</v>
      </c>
      <c r="I12" s="237">
        <v>-0.4</v>
      </c>
      <c r="J12" s="237">
        <v>-24.58</v>
      </c>
      <c r="K12" s="177" t="s">
        <v>213</v>
      </c>
      <c r="L12" s="177" t="s">
        <v>213</v>
      </c>
      <c r="M12" s="177" t="s">
        <v>213</v>
      </c>
      <c r="N12" s="177" t="s">
        <v>213</v>
      </c>
      <c r="O12" s="177" t="s">
        <v>213</v>
      </c>
    </row>
    <row r="13" spans="1:15" x14ac:dyDescent="0.25">
      <c r="A13" t="s">
        <v>73</v>
      </c>
      <c r="D13" s="237">
        <v>143.47</v>
      </c>
      <c r="E13" s="237">
        <v>143.97999999999999</v>
      </c>
      <c r="F13" s="237">
        <v>178.92</v>
      </c>
      <c r="G13" s="237">
        <v>192.87</v>
      </c>
      <c r="H13" s="237">
        <v>107.29</v>
      </c>
      <c r="I13" s="237">
        <v>137.99</v>
      </c>
      <c r="J13" s="237">
        <v>179.98</v>
      </c>
      <c r="K13" s="17">
        <f>'Income statement'!K24</f>
        <v>1527.28125</v>
      </c>
      <c r="L13" s="17">
        <f>'Income statement'!L24</f>
        <v>2111.6100750000001</v>
      </c>
      <c r="M13" s="17">
        <f>'Income statement'!M24</f>
        <v>2541.0398249999994</v>
      </c>
      <c r="N13" s="17">
        <f>'Income statement'!N24</f>
        <v>2962.1895749999999</v>
      </c>
      <c r="O13" s="17">
        <f>'Income statement'!O24</f>
        <v>3375.0593249999993</v>
      </c>
    </row>
    <row r="14" spans="1:15" x14ac:dyDescent="0.25">
      <c r="A14" t="s">
        <v>74</v>
      </c>
      <c r="D14" s="237">
        <v>300.35000000000002</v>
      </c>
      <c r="E14" s="237">
        <v>313.18</v>
      </c>
      <c r="F14" s="237">
        <v>364.29</v>
      </c>
      <c r="G14" s="237">
        <v>826.57</v>
      </c>
      <c r="H14" s="237">
        <v>929.36</v>
      </c>
      <c r="I14" s="237">
        <v>1019.02</v>
      </c>
      <c r="J14" s="237">
        <v>1298.99</v>
      </c>
      <c r="K14" s="177" t="s">
        <v>213</v>
      </c>
      <c r="L14" s="177" t="s">
        <v>213</v>
      </c>
      <c r="M14" s="177" t="s">
        <v>213</v>
      </c>
      <c r="N14" s="177" t="s">
        <v>213</v>
      </c>
      <c r="O14" s="177" t="s">
        <v>213</v>
      </c>
    </row>
    <row r="15" spans="1:15" x14ac:dyDescent="0.25">
      <c r="A15" t="s">
        <v>75</v>
      </c>
      <c r="D15" s="237">
        <v>-333.38</v>
      </c>
      <c r="E15" s="237">
        <v>-804.44</v>
      </c>
      <c r="F15" s="237">
        <v>-1419.6</v>
      </c>
      <c r="G15" s="237">
        <v>-1868.62</v>
      </c>
      <c r="H15" s="237">
        <v>-2703.77</v>
      </c>
      <c r="I15" s="237">
        <v>-3687.41</v>
      </c>
      <c r="J15" s="237">
        <f>-3913.27-488.02</f>
        <v>-4401.29</v>
      </c>
      <c r="K15" s="177" t="s">
        <v>213</v>
      </c>
      <c r="L15" s="177" t="s">
        <v>213</v>
      </c>
      <c r="M15" s="177" t="s">
        <v>213</v>
      </c>
      <c r="N15" s="177" t="s">
        <v>213</v>
      </c>
      <c r="O15" s="177" t="s">
        <v>213</v>
      </c>
    </row>
    <row r="16" spans="1:15" x14ac:dyDescent="0.25">
      <c r="A16" t="s">
        <v>76</v>
      </c>
      <c r="D16" s="246">
        <v>-11.12</v>
      </c>
      <c r="E16" s="236">
        <v>-18.309999999999999</v>
      </c>
      <c r="F16" s="236">
        <v>-257.95999999999998</v>
      </c>
      <c r="G16" s="236">
        <v>-639.28</v>
      </c>
      <c r="H16" s="236">
        <v>-1035.8800000000001</v>
      </c>
      <c r="I16" s="236">
        <v>-372.31</v>
      </c>
      <c r="J16" s="236">
        <v>-1221.27</v>
      </c>
      <c r="K16" s="177" t="s">
        <v>213</v>
      </c>
      <c r="L16" s="177" t="s">
        <v>213</v>
      </c>
      <c r="M16" s="177" t="s">
        <v>213</v>
      </c>
      <c r="N16" s="177" t="s">
        <v>213</v>
      </c>
      <c r="O16" s="177" t="s">
        <v>213</v>
      </c>
    </row>
    <row r="17" spans="1:16" x14ac:dyDescent="0.25">
      <c r="A17" t="s">
        <v>77</v>
      </c>
      <c r="D17" s="236">
        <v>-382.56</v>
      </c>
      <c r="E17" s="236">
        <v>-384.25</v>
      </c>
      <c r="F17" s="236">
        <v>-328.81</v>
      </c>
      <c r="G17" s="236">
        <v>-355.65</v>
      </c>
      <c r="H17" s="236">
        <v>0</v>
      </c>
      <c r="I17" s="236">
        <v>0</v>
      </c>
      <c r="J17" s="236">
        <v>-546.41999999999996</v>
      </c>
      <c r="K17" s="177" t="s">
        <v>213</v>
      </c>
      <c r="L17" s="177" t="s">
        <v>213</v>
      </c>
      <c r="M17" s="177" t="s">
        <v>213</v>
      </c>
      <c r="N17" s="177" t="s">
        <v>213</v>
      </c>
      <c r="O17" s="177" t="s">
        <v>213</v>
      </c>
    </row>
    <row r="18" spans="1:16" x14ac:dyDescent="0.25">
      <c r="A18" t="s">
        <v>78</v>
      </c>
      <c r="D18" s="17">
        <f>45.22+0.62+63.48-5.75</f>
        <v>103.57</v>
      </c>
      <c r="E18" s="17">
        <f>50.58+17.11+7.88-4.87+1.47</f>
        <v>72.169999999999987</v>
      </c>
      <c r="F18" s="17">
        <f>44.5+126-1.03+3</f>
        <v>172.47</v>
      </c>
      <c r="G18" s="17">
        <f>26.37+1+563+0.17</f>
        <v>590.54</v>
      </c>
      <c r="H18" s="17">
        <f>-107.78-1.12+0.9+0.18+1192.08</f>
        <v>1084.26</v>
      </c>
      <c r="I18" s="17">
        <f>-69.34+51.72+2.1+4.26+2057.93+677.07</f>
        <v>2723.74</v>
      </c>
      <c r="J18" s="17">
        <f>-414.93-2152.27+535.97+47.46+9.09-861.8+504.89</f>
        <v>-2331.5899999999997</v>
      </c>
      <c r="K18" s="17">
        <f>'Balance sheet'!K16-'Balance sheet'!J16</f>
        <v>5372.0420000000013</v>
      </c>
      <c r="L18" s="17">
        <f>'Balance sheet'!L16-'Balance sheet'!K16</f>
        <v>-4680.7512921739253</v>
      </c>
      <c r="M18" s="17">
        <f>'Balance sheet'!M16-'Balance sheet'!L16</f>
        <v>7306.3927722782537</v>
      </c>
      <c r="N18" s="17">
        <f>'Balance sheet'!N16-'Balance sheet'!M16</f>
        <v>7176.6463818344419</v>
      </c>
      <c r="O18" s="17">
        <f>'Balance sheet'!O16-'Balance sheet'!N16</f>
        <v>7689.1811901596375</v>
      </c>
    </row>
    <row r="19" spans="1:16" x14ac:dyDescent="0.25">
      <c r="A19" s="1" t="s">
        <v>79</v>
      </c>
      <c r="D19" s="20">
        <f>SUM(D8:D18)</f>
        <v>7441.93</v>
      </c>
      <c r="E19" s="20">
        <f t="shared" ref="E19:J19" si="3">SUM(E8:E18)</f>
        <v>792.78999999999985</v>
      </c>
      <c r="F19" s="20">
        <f t="shared" si="3"/>
        <v>9568.4800000000032</v>
      </c>
      <c r="G19" s="20">
        <f t="shared" si="3"/>
        <v>5811.5000000000009</v>
      </c>
      <c r="H19" s="20">
        <f t="shared" si="3"/>
        <v>20024.919999999998</v>
      </c>
      <c r="I19" s="20">
        <f t="shared" si="3"/>
        <v>33255.01999999999</v>
      </c>
      <c r="J19" s="20">
        <f t="shared" si="3"/>
        <v>20926.47</v>
      </c>
      <c r="K19" s="20">
        <f t="shared" ref="K19" si="4">SUM(K8:K18)</f>
        <v>60397.151623911668</v>
      </c>
      <c r="L19" s="20">
        <f t="shared" ref="L19" si="5">SUM(L8:L18)</f>
        <v>57430.4329356374</v>
      </c>
      <c r="M19" s="20">
        <f t="shared" ref="M19" si="6">SUM(M8:M18)</f>
        <v>83117.180378583565</v>
      </c>
      <c r="N19" s="20">
        <f t="shared" ref="N19" si="7">SUM(N8:N18)</f>
        <v>97129.880786762136</v>
      </c>
      <c r="O19" s="20">
        <f t="shared" ref="O19" si="8">SUM(O8:O18)</f>
        <v>115071.26707756182</v>
      </c>
    </row>
    <row r="20" spans="1:16" x14ac:dyDescent="0.25">
      <c r="A20" t="s">
        <v>80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6" x14ac:dyDescent="0.25">
      <c r="A21" t="s">
        <v>81</v>
      </c>
      <c r="D21" s="236">
        <v>13.94</v>
      </c>
      <c r="E21" s="236">
        <v>-220.89</v>
      </c>
      <c r="F21" s="236">
        <v>-296.16000000000003</v>
      </c>
      <c r="G21" s="236">
        <v>-210.46</v>
      </c>
      <c r="H21" s="236">
        <v>-224.56</v>
      </c>
      <c r="I21" s="236">
        <v>-530.72</v>
      </c>
      <c r="J21" s="236">
        <v>-21.45</v>
      </c>
      <c r="K21" s="17">
        <f>'Balance sheet'!J42-'Balance sheet'!K42</f>
        <v>-277.063324816256</v>
      </c>
      <c r="L21" s="17">
        <f>'Balance sheet'!K42-'Balance sheet'!L42</f>
        <v>-373.99109103496926</v>
      </c>
      <c r="M21" s="17">
        <f>'Balance sheet'!L42-'Balance sheet'!M42</f>
        <v>-437.2799337391275</v>
      </c>
      <c r="N21" s="17">
        <f>'Balance sheet'!M42-'Balance sheet'!N42</f>
        <v>-522.66893060073062</v>
      </c>
      <c r="O21" s="17">
        <f>'Balance sheet'!N42-'Balance sheet'!O42</f>
        <v>-641.63406429014549</v>
      </c>
      <c r="P21" s="17"/>
    </row>
    <row r="22" spans="1:16" x14ac:dyDescent="0.25">
      <c r="A22" t="s">
        <v>82</v>
      </c>
      <c r="D22" s="236">
        <v>-143.94999999999999</v>
      </c>
      <c r="E22" s="236">
        <v>61.26</v>
      </c>
      <c r="F22" s="236">
        <v>-219.55</v>
      </c>
      <c r="G22" s="236">
        <v>-173.82</v>
      </c>
      <c r="H22" s="236">
        <v>-654.02</v>
      </c>
      <c r="I22" s="236">
        <v>6.72</v>
      </c>
      <c r="J22" s="236">
        <v>-868.68</v>
      </c>
      <c r="K22" s="17">
        <f>'Balance sheet'!J41-'Balance sheet'!K41</f>
        <v>-174.81106772710973</v>
      </c>
      <c r="L22" s="17">
        <f>'Balance sheet'!K41-'Balance sheet'!L41</f>
        <v>-415.53685690854627</v>
      </c>
      <c r="M22" s="17">
        <f>'Balance sheet'!L41-'Balance sheet'!M41</f>
        <v>-377.42504411074697</v>
      </c>
      <c r="N22" s="17">
        <f>'Balance sheet'!M41-'Balance sheet'!N41</f>
        <v>-536.1994621092922</v>
      </c>
      <c r="O22" s="17">
        <f>'Balance sheet'!N41-'Balance sheet'!O41</f>
        <v>-650.31325426872036</v>
      </c>
    </row>
    <row r="23" spans="1:16" x14ac:dyDescent="0.25">
      <c r="A23" t="s">
        <v>109</v>
      </c>
      <c r="D23" s="236">
        <v>-496.23</v>
      </c>
      <c r="E23" s="236">
        <v>-1743.87</v>
      </c>
      <c r="F23" s="236">
        <v>-1314.42</v>
      </c>
      <c r="G23" s="236">
        <v>390.88</v>
      </c>
      <c r="H23" s="236">
        <v>2.0099999999999998</v>
      </c>
      <c r="I23" s="236">
        <v>-3013.81</v>
      </c>
      <c r="J23" s="236">
        <v>-2432.46</v>
      </c>
      <c r="K23" s="17">
        <f>('Balance sheet'!J44-'Balance sheet'!K44)+('Balance sheet'!J45-'Balance sheet'!K45)</f>
        <v>2685.4761160273224</v>
      </c>
      <c r="L23" s="17">
        <f>('Balance sheet'!K44-'Balance sheet'!L44)+('Balance sheet'!K45-'Balance sheet'!L45)</f>
        <v>-1023.2881589352921</v>
      </c>
      <c r="M23" s="17">
        <f>('Balance sheet'!L44-'Balance sheet'!M44)+('Balance sheet'!L45-'Balance sheet'!M45)</f>
        <v>-1196.454645742936</v>
      </c>
      <c r="N23" s="17">
        <f>('Balance sheet'!M44-'Balance sheet'!N44)+('Balance sheet'!M45-'Balance sheet'!N45)</f>
        <v>-1430.0900223237952</v>
      </c>
      <c r="O23" s="17">
        <f>('Balance sheet'!N44-'Balance sheet'!O44)+('Balance sheet'!N45-'Balance sheet'!O45)</f>
        <v>-1755.5940665341677</v>
      </c>
    </row>
    <row r="24" spans="1:16" x14ac:dyDescent="0.25">
      <c r="A24" s="29" t="s">
        <v>84</v>
      </c>
      <c r="D24" s="236">
        <v>2107.84</v>
      </c>
      <c r="E24" s="236">
        <v>5596.75</v>
      </c>
      <c r="F24" s="236">
        <v>8157.12</v>
      </c>
      <c r="G24" s="236">
        <v>9004.11</v>
      </c>
      <c r="H24" s="236">
        <v>8607.2199999999993</v>
      </c>
      <c r="I24" s="236">
        <v>8842.66</v>
      </c>
      <c r="J24" s="236">
        <v>17338.75</v>
      </c>
      <c r="K24" s="17">
        <f>('Balance sheet'!K21-'Balance sheet'!J21)+('Balance sheet'!K22-'Balance sheet'!J22)+('Balance sheet'!K23-'Balance sheet'!J23)</f>
        <v>803.14466080609077</v>
      </c>
      <c r="L24" s="17">
        <f>('Balance sheet'!L21-'Balance sheet'!K21)+('Balance sheet'!L22-'Balance sheet'!K22)+('Balance sheet'!L23-'Balance sheet'!K23)</f>
        <v>9688.527928298503</v>
      </c>
      <c r="M24" s="17">
        <f>('Balance sheet'!M21-'Balance sheet'!L21)+('Balance sheet'!M22-'Balance sheet'!L22)+('Balance sheet'!M23-'Balance sheet'!L23)</f>
        <v>10866.100373239384</v>
      </c>
      <c r="N24" s="17">
        <f>('Balance sheet'!N21-'Balance sheet'!M21)+('Balance sheet'!N22-'Balance sheet'!M22)+('Balance sheet'!N23-'Balance sheet'!M23)</f>
        <v>13544.95069908283</v>
      </c>
      <c r="O24" s="17">
        <f>('Balance sheet'!O21-'Balance sheet'!N21)+('Balance sheet'!O22-'Balance sheet'!N22)+('Balance sheet'!O23-'Balance sheet'!N23)</f>
        <v>16676.721611873985</v>
      </c>
    </row>
    <row r="25" spans="1:16" x14ac:dyDescent="0.25">
      <c r="A25" t="s">
        <v>85</v>
      </c>
      <c r="D25" s="236">
        <v>1118.54</v>
      </c>
      <c r="E25" s="236">
        <v>4841.78</v>
      </c>
      <c r="F25" s="236">
        <v>3369.28</v>
      </c>
      <c r="G25" s="236">
        <v>2208.21</v>
      </c>
      <c r="H25" s="236">
        <v>34.51</v>
      </c>
      <c r="I25" s="236">
        <v>-1807.96</v>
      </c>
      <c r="J25" s="236">
        <v>7119.03</v>
      </c>
      <c r="K25" s="17">
        <f>'Balance sheet'!K24-'Balance sheet'!J24</f>
        <v>2160.1280000000006</v>
      </c>
      <c r="L25" s="17">
        <f>'Balance sheet'!L24-'Balance sheet'!K24</f>
        <v>2256.2576399999998</v>
      </c>
      <c r="M25" s="17">
        <f>'Balance sheet'!M24-'Balance sheet'!L24</f>
        <v>-1965.9155427130481</v>
      </c>
      <c r="N25" s="17">
        <f>'Balance sheet'!N24-'Balance sheet'!M24</f>
        <v>3068.6849643568657</v>
      </c>
      <c r="O25" s="17">
        <f>'Balance sheet'!O24-'Balance sheet'!N24</f>
        <v>3014.1914803704658</v>
      </c>
    </row>
    <row r="26" spans="1:16" x14ac:dyDescent="0.25">
      <c r="A26" t="s">
        <v>86</v>
      </c>
      <c r="D26" s="17">
        <f>SUM(D21:D25)+D19</f>
        <v>10042.07</v>
      </c>
      <c r="E26" s="17">
        <f t="shared" ref="E26:O26" si="9">SUM(E21:E25)+E19</f>
        <v>9327.8199999999979</v>
      </c>
      <c r="F26" s="17">
        <f t="shared" si="9"/>
        <v>19264.750000000004</v>
      </c>
      <c r="G26" s="17">
        <f t="shared" si="9"/>
        <v>17030.420000000002</v>
      </c>
      <c r="H26" s="17">
        <f t="shared" si="9"/>
        <v>27790.079999999998</v>
      </c>
      <c r="I26" s="17">
        <f t="shared" si="9"/>
        <v>36751.909999999989</v>
      </c>
      <c r="J26" s="17">
        <f t="shared" si="9"/>
        <v>42061.66</v>
      </c>
      <c r="K26" s="17">
        <f t="shared" si="9"/>
        <v>65594.026008201719</v>
      </c>
      <c r="L26" s="17">
        <f t="shared" si="9"/>
        <v>67562.4023970571</v>
      </c>
      <c r="M26" s="17">
        <f t="shared" si="9"/>
        <v>90006.205585517091</v>
      </c>
      <c r="N26" s="17">
        <f t="shared" si="9"/>
        <v>111254.55803516801</v>
      </c>
      <c r="O26" s="17">
        <f t="shared" si="9"/>
        <v>131714.63878471323</v>
      </c>
    </row>
    <row r="27" spans="1:16" x14ac:dyDescent="0.25">
      <c r="A27" t="s">
        <v>83</v>
      </c>
      <c r="D27" s="236">
        <v>-1322.23</v>
      </c>
      <c r="E27" s="236">
        <v>-371.13</v>
      </c>
      <c r="F27" s="236">
        <v>-1851.53</v>
      </c>
      <c r="G27" s="236">
        <v>-1075.42</v>
      </c>
      <c r="H27" s="236">
        <v>-3951.24</v>
      </c>
      <c r="I27" s="236">
        <v>-5761.16</v>
      </c>
      <c r="J27" s="236">
        <v>-4240.96</v>
      </c>
      <c r="K27" s="17">
        <f>'Income statement'!K26</f>
        <v>-10601.937311791009</v>
      </c>
      <c r="L27" s="17">
        <f>'Income statement'!L26</f>
        <v>-11865.806732301635</v>
      </c>
      <c r="M27" s="17">
        <f>'Income statement'!M26</f>
        <v>-14595.525706586381</v>
      </c>
      <c r="N27" s="17">
        <f>'Income statement'!N26</f>
        <v>-17430.013366085317</v>
      </c>
      <c r="O27" s="17">
        <f>'Income statement'!O26</f>
        <v>-20978.828463826831</v>
      </c>
    </row>
    <row r="28" spans="1:16" x14ac:dyDescent="0.25">
      <c r="A28" s="1" t="s">
        <v>87</v>
      </c>
      <c r="D28" s="20">
        <f>D26+D27</f>
        <v>8719.84</v>
      </c>
      <c r="E28" s="20">
        <f t="shared" ref="E28:N28" si="10">E26+E27</f>
        <v>8956.6899999999987</v>
      </c>
      <c r="F28" s="20">
        <f t="shared" si="10"/>
        <v>17413.220000000005</v>
      </c>
      <c r="G28" s="20">
        <f t="shared" si="10"/>
        <v>15955.000000000002</v>
      </c>
      <c r="H28" s="20">
        <f t="shared" si="10"/>
        <v>23838.839999999997</v>
      </c>
      <c r="I28" s="20">
        <f t="shared" si="10"/>
        <v>30990.749999999989</v>
      </c>
      <c r="J28" s="20">
        <f t="shared" si="10"/>
        <v>37820.700000000004</v>
      </c>
      <c r="K28" s="20">
        <f t="shared" si="10"/>
        <v>54992.088696410712</v>
      </c>
      <c r="L28" s="20">
        <f t="shared" si="10"/>
        <v>55696.595664755463</v>
      </c>
      <c r="M28" s="20">
        <f t="shared" si="10"/>
        <v>75410.679878930707</v>
      </c>
      <c r="N28" s="20">
        <f t="shared" si="10"/>
        <v>93824.544669082694</v>
      </c>
      <c r="O28" s="20">
        <f>O26+O27</f>
        <v>110735.8103208864</v>
      </c>
    </row>
    <row r="29" spans="1:16" x14ac:dyDescent="0.25">
      <c r="A29" s="1" t="s">
        <v>413</v>
      </c>
      <c r="B29" s="1"/>
      <c r="C29" s="1"/>
      <c r="D29" s="20">
        <f>SUM(D21:D25)</f>
        <v>2600.1400000000003</v>
      </c>
      <c r="E29" s="20">
        <f t="shared" ref="E29:O29" si="11">SUM(E21:E25)</f>
        <v>8535.0299999999988</v>
      </c>
      <c r="F29" s="20">
        <f t="shared" si="11"/>
        <v>9696.27</v>
      </c>
      <c r="G29" s="20">
        <f t="shared" si="11"/>
        <v>11218.920000000002</v>
      </c>
      <c r="H29" s="20">
        <f t="shared" si="11"/>
        <v>7765.16</v>
      </c>
      <c r="I29" s="20">
        <f t="shared" si="11"/>
        <v>3496.8900000000003</v>
      </c>
      <c r="J29" s="20">
        <f t="shared" si="11"/>
        <v>21135.19</v>
      </c>
      <c r="K29" s="20">
        <f t="shared" si="11"/>
        <v>5196.8743842900476</v>
      </c>
      <c r="L29" s="20">
        <f t="shared" si="11"/>
        <v>10131.969461419696</v>
      </c>
      <c r="M29" s="20">
        <f t="shared" si="11"/>
        <v>6889.0252069335256</v>
      </c>
      <c r="N29" s="20">
        <f t="shared" si="11"/>
        <v>14124.677248405878</v>
      </c>
      <c r="O29" s="20">
        <f t="shared" si="11"/>
        <v>16643.371707151418</v>
      </c>
    </row>
    <row r="30" spans="1:16" x14ac:dyDescent="0.25">
      <c r="A30" s="1" t="s">
        <v>88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6" x14ac:dyDescent="0.25">
      <c r="A31" t="s">
        <v>89</v>
      </c>
      <c r="D31" s="236">
        <v>-2133.12</v>
      </c>
      <c r="E31" s="236">
        <v>-331.74</v>
      </c>
      <c r="F31" s="236">
        <v>-9155.68</v>
      </c>
      <c r="G31" s="236">
        <v>-23241.67</v>
      </c>
      <c r="H31" s="236">
        <v>-10171.15</v>
      </c>
      <c r="I31" s="236">
        <v>-2319.9</v>
      </c>
      <c r="J31" s="236">
        <v>-2372.38</v>
      </c>
      <c r="K31" s="17">
        <f>-'Asset Schedule '!K9-'Asset Schedule '!K22</f>
        <v>-10266</v>
      </c>
      <c r="L31" s="17">
        <f>-'Asset Schedule '!L9-'Asset Schedule '!L22</f>
        <v>-10578</v>
      </c>
      <c r="M31" s="17">
        <f>-'Asset Schedule '!M9-'Asset Schedule '!M22</f>
        <v>-10890</v>
      </c>
      <c r="N31" s="17">
        <f>-'Asset Schedule '!N9-'Asset Schedule '!N22</f>
        <v>-11202</v>
      </c>
      <c r="O31" s="17">
        <f>-'Asset Schedule '!O9-'Asset Schedule '!O22</f>
        <v>-11514</v>
      </c>
    </row>
    <row r="32" spans="1:16" x14ac:dyDescent="0.25">
      <c r="A32" t="s">
        <v>90</v>
      </c>
      <c r="D32" s="236">
        <v>1657.02</v>
      </c>
      <c r="E32" s="236">
        <v>0.74</v>
      </c>
      <c r="F32" s="236">
        <v>2.56</v>
      </c>
      <c r="G32" s="236">
        <v>4.5599999999999996</v>
      </c>
      <c r="H32" s="236">
        <v>1.63</v>
      </c>
      <c r="I32" s="236">
        <v>1.62</v>
      </c>
      <c r="J32" s="236">
        <v>6132.3</v>
      </c>
      <c r="K32" s="230" t="s">
        <v>213</v>
      </c>
      <c r="L32" s="230" t="s">
        <v>213</v>
      </c>
      <c r="M32" s="230" t="s">
        <v>213</v>
      </c>
      <c r="N32" s="230" t="s">
        <v>213</v>
      </c>
      <c r="O32" s="230" t="s">
        <v>213</v>
      </c>
    </row>
    <row r="33" spans="1:15" x14ac:dyDescent="0.25">
      <c r="A33" t="s">
        <v>91</v>
      </c>
      <c r="D33" s="236">
        <f>-106291.94+104851.47-4835.26+85.32</f>
        <v>-6190.4100000000017</v>
      </c>
      <c r="E33" s="236">
        <f>-3212.69-771-45218.79+48025.37</f>
        <v>-1177.1100000000006</v>
      </c>
      <c r="F33" s="236">
        <f>-1446.78-3842.08-64831.09+58939.45</f>
        <v>-11180.5</v>
      </c>
      <c r="G33" s="236">
        <f>2051.49-8907.53-71175.76+70483.47</f>
        <v>-7548.3299999999872</v>
      </c>
      <c r="H33" s="236">
        <f>-7617.43-1504.44-65074.52+73657.73</f>
        <v>-538.66000000000349</v>
      </c>
      <c r="I33" s="236">
        <f>-11606.71+1578.62-59387.98+55186.61</f>
        <v>-14229.460000000006</v>
      </c>
      <c r="J33" s="236">
        <f>-15661.24+3567.53-126733.58+101228.56</f>
        <v>-37598.73000000001</v>
      </c>
      <c r="K33" s="230" t="s">
        <v>213</v>
      </c>
      <c r="L33" s="230" t="s">
        <v>213</v>
      </c>
      <c r="M33" s="230" t="s">
        <v>213</v>
      </c>
      <c r="N33" s="230" t="s">
        <v>213</v>
      </c>
      <c r="O33" s="230" t="s">
        <v>213</v>
      </c>
    </row>
    <row r="34" spans="1:15" x14ac:dyDescent="0.25">
      <c r="A34" t="s">
        <v>92</v>
      </c>
      <c r="D34" s="236">
        <v>200.51</v>
      </c>
      <c r="E34" s="236">
        <v>657.27</v>
      </c>
      <c r="F34" s="236">
        <v>1107.94</v>
      </c>
      <c r="G34" s="236">
        <v>1292</v>
      </c>
      <c r="H34" s="236">
        <v>1303.1199999999999</v>
      </c>
      <c r="I34" s="236">
        <v>3285.8</v>
      </c>
      <c r="J34" s="236">
        <v>3460.24</v>
      </c>
      <c r="K34" s="230" t="s">
        <v>213</v>
      </c>
      <c r="L34" s="230" t="s">
        <v>213</v>
      </c>
      <c r="M34" s="230" t="s">
        <v>213</v>
      </c>
      <c r="N34" s="230" t="s">
        <v>213</v>
      </c>
      <c r="O34" s="230" t="s">
        <v>213</v>
      </c>
    </row>
    <row r="35" spans="1:15" x14ac:dyDescent="0.25">
      <c r="A35" t="s">
        <v>93</v>
      </c>
      <c r="D35" s="236">
        <v>382.56</v>
      </c>
      <c r="E35" s="236">
        <v>384.25</v>
      </c>
      <c r="F35" s="236">
        <v>328.81</v>
      </c>
      <c r="G35" s="236">
        <v>355.65</v>
      </c>
      <c r="H35" s="236">
        <v>0</v>
      </c>
      <c r="I35" s="236">
        <v>0</v>
      </c>
      <c r="J35" s="236">
        <v>0</v>
      </c>
      <c r="K35" s="230" t="s">
        <v>213</v>
      </c>
      <c r="L35" s="230" t="s">
        <v>213</v>
      </c>
      <c r="M35" s="230" t="s">
        <v>213</v>
      </c>
      <c r="N35" s="230" t="s">
        <v>213</v>
      </c>
      <c r="O35" s="230" t="s">
        <v>213</v>
      </c>
    </row>
    <row r="36" spans="1:15" x14ac:dyDescent="0.25">
      <c r="A36" s="1" t="s">
        <v>94</v>
      </c>
      <c r="D36" s="20">
        <f>SUM(D31:D35)</f>
        <v>-6083.4400000000014</v>
      </c>
      <c r="E36" s="20">
        <f t="shared" ref="E36:O36" si="12">SUM(E31:E35)</f>
        <v>-466.5900000000006</v>
      </c>
      <c r="F36" s="20">
        <f t="shared" si="12"/>
        <v>-18896.870000000003</v>
      </c>
      <c r="G36" s="20">
        <f t="shared" si="12"/>
        <v>-29137.789999999983</v>
      </c>
      <c r="H36" s="20">
        <f t="shared" si="12"/>
        <v>-9405.0600000000049</v>
      </c>
      <c r="I36" s="20">
        <f t="shared" si="12"/>
        <v>-13261.940000000006</v>
      </c>
      <c r="J36" s="20">
        <f t="shared" si="12"/>
        <v>-30378.570000000014</v>
      </c>
      <c r="K36" s="20">
        <f t="shared" si="12"/>
        <v>-10266</v>
      </c>
      <c r="L36" s="20">
        <f t="shared" si="12"/>
        <v>-10578</v>
      </c>
      <c r="M36" s="20">
        <f t="shared" si="12"/>
        <v>-10890</v>
      </c>
      <c r="N36" s="20">
        <f t="shared" si="12"/>
        <v>-11202</v>
      </c>
      <c r="O36" s="20">
        <f t="shared" si="12"/>
        <v>-11514</v>
      </c>
    </row>
    <row r="37" spans="1:15" x14ac:dyDescent="0.25"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pans="1:15" x14ac:dyDescent="0.25">
      <c r="A38" s="1" t="s">
        <v>95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 x14ac:dyDescent="0.25">
      <c r="A39" t="s">
        <v>99</v>
      </c>
      <c r="D39" s="236">
        <f>3428.19-3690.62</f>
        <v>-262.42999999999984</v>
      </c>
      <c r="E39" s="236">
        <f>2934.99-2475.73-678.6</f>
        <v>-219.34000000000026</v>
      </c>
      <c r="F39" s="236">
        <f>10301.45-3031.95</f>
        <v>7269.5000000000009</v>
      </c>
      <c r="G39" s="236">
        <f>18153.29-4515.8</f>
        <v>13637.490000000002</v>
      </c>
      <c r="H39" s="236">
        <f>8137.45-4320.32</f>
        <v>3817.13</v>
      </c>
      <c r="I39" s="236">
        <f>843.7-11084.9</f>
        <v>-10241.199999999999</v>
      </c>
      <c r="J39" s="236">
        <f>676.61-7526.39</f>
        <v>-6849.7800000000007</v>
      </c>
      <c r="K39" s="17">
        <f>'Debt schedule'!K8+'Debt schedule'!K9</f>
        <v>7623.34</v>
      </c>
      <c r="L39" s="17">
        <f>'Debt schedule'!L8+'Debt schedule'!L9</f>
        <v>7226.1625000000004</v>
      </c>
      <c r="M39" s="17">
        <f>'Debt schedule'!M8+'Debt schedule'!M9</f>
        <v>7088.1625000000004</v>
      </c>
      <c r="N39" s="17">
        <f>'Debt schedule'!N8+'Debt schedule'!N9</f>
        <v>6950.1625000000004</v>
      </c>
      <c r="O39" s="17">
        <f>'Debt schedule'!O8+'Debt schedule'!O9</f>
        <v>6812.1625000000004</v>
      </c>
    </row>
    <row r="40" spans="1:15" x14ac:dyDescent="0.25">
      <c r="A40" t="s">
        <v>96</v>
      </c>
      <c r="D40" s="236">
        <v>-143.47</v>
      </c>
      <c r="E40" s="236">
        <v>-143.97999999999999</v>
      </c>
      <c r="F40" s="236">
        <v>-169.14</v>
      </c>
      <c r="G40" s="236">
        <v>-185.86</v>
      </c>
      <c r="H40" s="236">
        <v>-100.46</v>
      </c>
      <c r="I40" s="236">
        <v>-123.76</v>
      </c>
      <c r="J40" s="236">
        <v>-168.77</v>
      </c>
      <c r="K40" s="17">
        <f>-K13</f>
        <v>-1527.28125</v>
      </c>
      <c r="L40" s="17">
        <f t="shared" ref="L40:O40" si="13">-L13</f>
        <v>-2111.6100750000001</v>
      </c>
      <c r="M40" s="17">
        <f t="shared" si="13"/>
        <v>-2541.0398249999994</v>
      </c>
      <c r="N40" s="17">
        <f t="shared" si="13"/>
        <v>-2962.1895749999999</v>
      </c>
      <c r="O40" s="17">
        <f t="shared" si="13"/>
        <v>-3375.0593249999993</v>
      </c>
    </row>
    <row r="41" spans="1:15" x14ac:dyDescent="0.25">
      <c r="A41" t="s">
        <v>110</v>
      </c>
      <c r="D41" s="17"/>
      <c r="E41" s="17"/>
      <c r="F41" s="17"/>
      <c r="G41" s="17"/>
      <c r="H41" s="17"/>
      <c r="I41" s="17"/>
      <c r="J41" s="17"/>
      <c r="K41" s="17">
        <f>'Balance sheet'!K14-'Balance sheet'!J14</f>
        <v>8247.2887267468868</v>
      </c>
      <c r="L41" s="17">
        <f>'Balance sheet'!L14-'Balance sheet'!K14</f>
        <v>6169.2818934866009</v>
      </c>
      <c r="M41" s="17">
        <f>'Balance sheet'!M14-'Balance sheet'!L14</f>
        <v>7155.2641001601805</v>
      </c>
      <c r="N41" s="17">
        <f>'Balance sheet'!N14-'Balance sheet'!M14</f>
        <v>8471.4733924669999</v>
      </c>
      <c r="O41" s="17">
        <f>'Balance sheet'!O14-'Balance sheet'!N14</f>
        <v>10289.849799046031</v>
      </c>
    </row>
    <row r="42" spans="1:15" x14ac:dyDescent="0.25">
      <c r="A42" t="s">
        <v>97</v>
      </c>
      <c r="D42" s="236">
        <v>-302.35000000000002</v>
      </c>
      <c r="E42" s="236">
        <v>-312.73</v>
      </c>
      <c r="F42" s="236">
        <v>-363.12</v>
      </c>
      <c r="G42" s="236">
        <v>-603.20000000000005</v>
      </c>
      <c r="H42" s="236">
        <v>-669.67</v>
      </c>
      <c r="I42" s="236">
        <v>-701.57</v>
      </c>
      <c r="J42" s="236">
        <v>-478.79</v>
      </c>
      <c r="K42" s="230" t="s">
        <v>213</v>
      </c>
      <c r="L42" s="230" t="s">
        <v>213</v>
      </c>
      <c r="M42" s="230" t="s">
        <v>213</v>
      </c>
      <c r="N42" s="230" t="s">
        <v>213</v>
      </c>
      <c r="O42" s="230" t="s">
        <v>213</v>
      </c>
    </row>
    <row r="43" spans="1:15" x14ac:dyDescent="0.25">
      <c r="A43" t="s">
        <v>100</v>
      </c>
      <c r="D43" s="238">
        <v>0</v>
      </c>
      <c r="E43" s="236">
        <v>0</v>
      </c>
      <c r="F43" s="236">
        <v>0</v>
      </c>
      <c r="G43" s="236">
        <v>0</v>
      </c>
      <c r="H43" s="236">
        <v>0</v>
      </c>
      <c r="I43" s="236">
        <v>166.41</v>
      </c>
      <c r="J43" s="236">
        <v>11.11</v>
      </c>
      <c r="K43" s="230" t="s">
        <v>213</v>
      </c>
      <c r="L43" s="230" t="s">
        <v>213</v>
      </c>
      <c r="M43" s="230" t="s">
        <v>213</v>
      </c>
      <c r="N43" s="230" t="s">
        <v>213</v>
      </c>
      <c r="O43" s="230" t="s">
        <v>213</v>
      </c>
    </row>
    <row r="44" spans="1:15" x14ac:dyDescent="0.25">
      <c r="A44" t="s">
        <v>101</v>
      </c>
      <c r="D44" s="236">
        <v>0</v>
      </c>
      <c r="E44" s="236">
        <v>0</v>
      </c>
      <c r="F44" s="236">
        <v>0</v>
      </c>
      <c r="G44" s="236">
        <v>0</v>
      </c>
      <c r="H44" s="236">
        <v>0</v>
      </c>
      <c r="I44" s="236">
        <v>11971.74</v>
      </c>
      <c r="J44" s="236">
        <v>0</v>
      </c>
      <c r="K44" s="230" t="s">
        <v>213</v>
      </c>
      <c r="L44" s="230" t="s">
        <v>213</v>
      </c>
      <c r="M44" s="230" t="s">
        <v>213</v>
      </c>
      <c r="N44" s="230" t="s">
        <v>213</v>
      </c>
      <c r="O44" s="230" t="s">
        <v>213</v>
      </c>
    </row>
    <row r="45" spans="1:15" x14ac:dyDescent="0.25">
      <c r="A45" t="s">
        <v>98</v>
      </c>
      <c r="D45" s="236">
        <v>-2012.43</v>
      </c>
      <c r="E45" s="236">
        <v>0</v>
      </c>
      <c r="F45" s="236">
        <v>0</v>
      </c>
      <c r="G45" s="236">
        <v>0</v>
      </c>
      <c r="H45" s="236">
        <v>0</v>
      </c>
      <c r="I45" s="236">
        <v>0</v>
      </c>
      <c r="J45" s="236">
        <v>0</v>
      </c>
      <c r="K45" s="230" t="s">
        <v>213</v>
      </c>
      <c r="L45" s="230" t="s">
        <v>213</v>
      </c>
      <c r="M45" s="230" t="s">
        <v>213</v>
      </c>
      <c r="N45" s="230" t="s">
        <v>213</v>
      </c>
      <c r="O45" s="230" t="s">
        <v>213</v>
      </c>
    </row>
    <row r="46" spans="1:15" x14ac:dyDescent="0.25">
      <c r="A46" t="s">
        <v>102</v>
      </c>
      <c r="D46" s="236">
        <v>0</v>
      </c>
      <c r="E46" s="236">
        <v>-4904.3100000000004</v>
      </c>
      <c r="F46" s="236">
        <v>-5486.38</v>
      </c>
      <c r="G46" s="236">
        <v>0</v>
      </c>
      <c r="H46" s="236">
        <v>-13575.3</v>
      </c>
      <c r="I46" s="236">
        <v>-11026.49</v>
      </c>
      <c r="J46" s="236">
        <v>-5422.03</v>
      </c>
      <c r="K46" s="230">
        <f>-'Cost Matrix'!K46</f>
        <v>-12650.086024921766</v>
      </c>
      <c r="L46" s="230">
        <f>-'Cost Matrix'!L46</f>
        <v>-14158.117663247549</v>
      </c>
      <c r="M46" s="230">
        <f>-'Cost Matrix'!M46</f>
        <v>-17415.180861514073</v>
      </c>
      <c r="N46" s="230">
        <f>-'Cost Matrix'!N46</f>
        <v>-20797.252616396334</v>
      </c>
      <c r="O46" s="230">
        <f>-'Cost Matrix'!O46</f>
        <v>-25031.65006213896</v>
      </c>
    </row>
    <row r="47" spans="1:15" x14ac:dyDescent="0.25">
      <c r="A47" t="s">
        <v>103</v>
      </c>
      <c r="D47" s="236">
        <v>0</v>
      </c>
      <c r="E47" s="236">
        <v>-795.59</v>
      </c>
      <c r="F47" s="236">
        <v>-890.03</v>
      </c>
      <c r="G47" s="236">
        <v>0</v>
      </c>
      <c r="H47" s="236">
        <v>-2552.83</v>
      </c>
      <c r="I47" s="236">
        <v>-2244.77</v>
      </c>
      <c r="J47" s="236">
        <v>-1103.8</v>
      </c>
      <c r="K47" s="230">
        <f>-'Cost Matrix'!K47</f>
        <v>-2575.2651597849226</v>
      </c>
      <c r="L47" s="230">
        <f>-'Cost Matrix'!L47</f>
        <v>-2882.2655493777506</v>
      </c>
      <c r="M47" s="230">
        <f>-'Cost Matrix'!M47</f>
        <v>-3545.3283428788172</v>
      </c>
      <c r="N47" s="230">
        <f>-'Cost Matrix'!N47</f>
        <v>-4233.8399894464383</v>
      </c>
      <c r="O47" s="230">
        <f>-'Cost Matrix'!O47</f>
        <v>-5095.8654486583409</v>
      </c>
    </row>
    <row r="48" spans="1:15" x14ac:dyDescent="0.25">
      <c r="A48" s="1" t="s">
        <v>104</v>
      </c>
      <c r="D48" s="20">
        <f>SUM(D39:D47)</f>
        <v>-2720.68</v>
      </c>
      <c r="E48" s="20">
        <f t="shared" ref="E48:O48" si="14">SUM(E39:E47)</f>
        <v>-6375.9500000000007</v>
      </c>
      <c r="F48" s="20">
        <f t="shared" si="14"/>
        <v>360.83000000000061</v>
      </c>
      <c r="G48" s="20">
        <f t="shared" si="14"/>
        <v>12848.43</v>
      </c>
      <c r="H48" s="20">
        <f t="shared" si="14"/>
        <v>-13081.13</v>
      </c>
      <c r="I48" s="20">
        <f t="shared" si="14"/>
        <v>-12199.64</v>
      </c>
      <c r="J48" s="20">
        <f t="shared" si="14"/>
        <v>-14012.060000000001</v>
      </c>
      <c r="K48" s="20">
        <f t="shared" si="14"/>
        <v>-882.00370795980143</v>
      </c>
      <c r="L48" s="20">
        <f t="shared" si="14"/>
        <v>-5756.5488941386993</v>
      </c>
      <c r="M48" s="20">
        <f t="shared" si="14"/>
        <v>-9258.1224292327097</v>
      </c>
      <c r="N48" s="20">
        <f t="shared" si="14"/>
        <v>-12571.646288375772</v>
      </c>
      <c r="O48" s="20">
        <f t="shared" si="14"/>
        <v>-16400.562536751269</v>
      </c>
    </row>
    <row r="49" spans="1:15" x14ac:dyDescent="0.25"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x14ac:dyDescent="0.25">
      <c r="A50" s="1" t="s">
        <v>105</v>
      </c>
      <c r="D50" s="20">
        <f>D28+D36+D48</f>
        <v>-84.28000000000111</v>
      </c>
      <c r="E50" s="20">
        <f t="shared" ref="E50:O50" si="15">E28+E36+E48</f>
        <v>2114.1499999999978</v>
      </c>
      <c r="F50" s="20">
        <f t="shared" si="15"/>
        <v>-1122.8199999999972</v>
      </c>
      <c r="G50" s="20">
        <f t="shared" si="15"/>
        <v>-334.35999999998057</v>
      </c>
      <c r="H50" s="20">
        <f t="shared" si="15"/>
        <v>1352.6499999999924</v>
      </c>
      <c r="I50" s="20">
        <f t="shared" si="15"/>
        <v>5529.1699999999837</v>
      </c>
      <c r="J50" s="20">
        <f t="shared" si="15"/>
        <v>-6569.9300000000112</v>
      </c>
      <c r="K50" s="20">
        <f t="shared" si="15"/>
        <v>43844.084988450908</v>
      </c>
      <c r="L50" s="20">
        <f t="shared" si="15"/>
        <v>39362.046770616762</v>
      </c>
      <c r="M50" s="20">
        <f t="shared" si="15"/>
        <v>55262.557449697997</v>
      </c>
      <c r="N50" s="20">
        <f t="shared" si="15"/>
        <v>70050.898380706916</v>
      </c>
      <c r="O50" s="20">
        <f t="shared" si="15"/>
        <v>82821.247784135136</v>
      </c>
    </row>
    <row r="51" spans="1:15" x14ac:dyDescent="0.25"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 x14ac:dyDescent="0.25">
      <c r="A52" t="s">
        <v>106</v>
      </c>
      <c r="D52" s="236">
        <v>0</v>
      </c>
      <c r="E52" s="236">
        <v>4.3899999999999997</v>
      </c>
      <c r="F52" s="236">
        <v>-6.14</v>
      </c>
      <c r="G52" s="236">
        <v>-4.72</v>
      </c>
      <c r="H52" s="236">
        <v>8.4</v>
      </c>
      <c r="I52" s="236">
        <v>57.02</v>
      </c>
      <c r="J52" s="236">
        <v>47.44</v>
      </c>
      <c r="K52" s="17"/>
      <c r="L52" s="17"/>
      <c r="M52" s="17"/>
      <c r="N52" s="17"/>
      <c r="O52" s="17"/>
    </row>
    <row r="53" spans="1:15" x14ac:dyDescent="0.25"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spans="1:15" x14ac:dyDescent="0.25">
      <c r="A54" s="1" t="s">
        <v>107</v>
      </c>
      <c r="D54" s="236">
        <v>540.30999999999995</v>
      </c>
      <c r="E54" s="236">
        <v>456.03</v>
      </c>
      <c r="F54" s="236">
        <v>2574.67</v>
      </c>
      <c r="G54" s="236">
        <v>1445.5</v>
      </c>
      <c r="H54" s="236">
        <v>1106.44</v>
      </c>
      <c r="I54" s="236">
        <v>2467.4899999999998</v>
      </c>
      <c r="J54" s="236">
        <v>8053.68</v>
      </c>
      <c r="K54" s="17">
        <f>J55</f>
        <v>1531.1899999999887</v>
      </c>
      <c r="L54" s="17">
        <f t="shared" ref="L54:O54" si="16">K55</f>
        <v>45375.274988450896</v>
      </c>
      <c r="M54" s="17">
        <f t="shared" si="16"/>
        <v>84737.32175906765</v>
      </c>
      <c r="N54" s="17">
        <f t="shared" si="16"/>
        <v>139999.87920876563</v>
      </c>
      <c r="O54" s="17">
        <f t="shared" si="16"/>
        <v>210050.77758947253</v>
      </c>
    </row>
    <row r="55" spans="1:15" x14ac:dyDescent="0.25">
      <c r="A55" s="1" t="s">
        <v>108</v>
      </c>
      <c r="D55" s="236">
        <f t="shared" ref="D55:J55" si="17">D54+D52+D50</f>
        <v>456.02999999999884</v>
      </c>
      <c r="E55" s="236">
        <f t="shared" si="17"/>
        <v>2574.5699999999979</v>
      </c>
      <c r="F55" s="236">
        <f t="shared" si="17"/>
        <v>1445.710000000003</v>
      </c>
      <c r="G55" s="236">
        <f t="shared" si="17"/>
        <v>1106.4200000000194</v>
      </c>
      <c r="H55" s="236">
        <f t="shared" si="17"/>
        <v>2467.4899999999925</v>
      </c>
      <c r="I55" s="236">
        <f t="shared" si="17"/>
        <v>8053.6799999999839</v>
      </c>
      <c r="J55" s="236">
        <f t="shared" si="17"/>
        <v>1531.1899999999887</v>
      </c>
      <c r="K55" s="17">
        <f>K54+K50</f>
        <v>45375.274988450896</v>
      </c>
      <c r="L55" s="17">
        <f t="shared" ref="L55:O55" si="18">L54+L50</f>
        <v>84737.32175906765</v>
      </c>
      <c r="M55" s="17">
        <f t="shared" si="18"/>
        <v>139999.87920876563</v>
      </c>
      <c r="N55" s="17">
        <f t="shared" si="18"/>
        <v>210050.77758947253</v>
      </c>
      <c r="O55" s="17">
        <f t="shared" si="18"/>
        <v>292872.02537360764</v>
      </c>
    </row>
    <row r="56" spans="1:15" x14ac:dyDescent="0.25"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x14ac:dyDescent="0.25">
      <c r="A57" s="205" t="s">
        <v>408</v>
      </c>
      <c r="E57" s="17"/>
      <c r="F57" s="17"/>
      <c r="G57" s="17"/>
      <c r="H57" s="17"/>
      <c r="I57" s="17"/>
      <c r="J57" s="17">
        <f>'Balance sheet'!J43-'CashFlow Statement'!J55</f>
        <v>44794.260000000017</v>
      </c>
      <c r="K57" s="17">
        <f>J57</f>
        <v>44794.260000000017</v>
      </c>
      <c r="L57" s="17">
        <f t="shared" ref="L57:O57" si="19">K57</f>
        <v>44794.260000000017</v>
      </c>
      <c r="M57" s="17">
        <f t="shared" si="19"/>
        <v>44794.260000000017</v>
      </c>
      <c r="N57" s="17">
        <f t="shared" si="19"/>
        <v>44794.260000000017</v>
      </c>
      <c r="O57" s="17">
        <f t="shared" si="19"/>
        <v>44794.260000000017</v>
      </c>
    </row>
    <row r="58" spans="1:15" x14ac:dyDescent="0.25"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</row>
    <row r="59" spans="1:15" x14ac:dyDescent="0.25"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</row>
    <row r="60" spans="1:15" x14ac:dyDescent="0.25"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</row>
    <row r="61" spans="1:15" x14ac:dyDescent="0.25"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</row>
    <row r="62" spans="1:15" x14ac:dyDescent="0.25"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</row>
    <row r="63" spans="1:15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  <row r="64" spans="1:15" x14ac:dyDescent="0.25"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</row>
    <row r="65" spans="4:15" x14ac:dyDescent="0.25"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</row>
    <row r="66" spans="4:15" x14ac:dyDescent="0.25"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</row>
    <row r="67" spans="4:15" x14ac:dyDescent="0.25"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4:15" x14ac:dyDescent="0.25"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</row>
    <row r="69" spans="4:15" x14ac:dyDescent="0.25"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4:15" x14ac:dyDescent="0.25"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4:15" x14ac:dyDescent="0.25"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</row>
    <row r="72" spans="4:15" x14ac:dyDescent="0.25"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</row>
    <row r="73" spans="4:15" x14ac:dyDescent="0.25"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</row>
    <row r="74" spans="4:15" x14ac:dyDescent="0.25"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</row>
    <row r="75" spans="4:15" x14ac:dyDescent="0.25"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4:15" x14ac:dyDescent="0.25"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</row>
    <row r="77" spans="4:15" x14ac:dyDescent="0.25"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</row>
    <row r="78" spans="4:15" x14ac:dyDescent="0.25"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</row>
    <row r="79" spans="4:15" x14ac:dyDescent="0.25"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</row>
    <row r="80" spans="4:15" x14ac:dyDescent="0.25"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</row>
    <row r="81" spans="4:15" x14ac:dyDescent="0.25"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4:15" x14ac:dyDescent="0.25"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</row>
    <row r="83" spans="4:15" x14ac:dyDescent="0.25"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</row>
    <row r="84" spans="4:15" x14ac:dyDescent="0.25"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spans="4:15" x14ac:dyDescent="0.25"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</row>
    <row r="86" spans="4:15" x14ac:dyDescent="0.25"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4:15" x14ac:dyDescent="0.25"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</row>
    <row r="88" spans="4:15" x14ac:dyDescent="0.25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</row>
    <row r="89" spans="4:15" x14ac:dyDescent="0.25"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</row>
    <row r="90" spans="4:15" x14ac:dyDescent="0.25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</row>
    <row r="91" spans="4:15" x14ac:dyDescent="0.25"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</row>
    <row r="92" spans="4:15" x14ac:dyDescent="0.25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8"/>
  <sheetViews>
    <sheetView workbookViewId="0">
      <selection activeCell="F28" sqref="F28"/>
    </sheetView>
  </sheetViews>
  <sheetFormatPr defaultRowHeight="15" x14ac:dyDescent="0.25"/>
  <cols>
    <col min="1" max="1" width="21.5703125" customWidth="1"/>
    <col min="2" max="2" width="12.85546875" customWidth="1"/>
    <col min="3" max="3" width="11.42578125" customWidth="1"/>
    <col min="4" max="4" width="13.7109375" customWidth="1"/>
    <col min="5" max="5" width="12.42578125" customWidth="1"/>
    <col min="6" max="6" width="18.5703125" bestFit="1" customWidth="1"/>
    <col min="8" max="8" width="18.5703125" bestFit="1" customWidth="1"/>
    <col min="9" max="9" width="11" bestFit="1" customWidth="1"/>
  </cols>
  <sheetData>
    <row r="1" spans="1:17" x14ac:dyDescent="0.25">
      <c r="A1" s="24" t="s">
        <v>128</v>
      </c>
      <c r="B1" s="24" t="s">
        <v>129</v>
      </c>
      <c r="C1" s="24" t="s">
        <v>130</v>
      </c>
      <c r="D1" s="24" t="s">
        <v>131</v>
      </c>
      <c r="E1" s="24" t="s">
        <v>132</v>
      </c>
      <c r="F1" s="24" t="s">
        <v>268</v>
      </c>
      <c r="G1" s="24"/>
      <c r="H1" s="24"/>
      <c r="I1" s="24" t="s">
        <v>269</v>
      </c>
      <c r="J1" t="s">
        <v>270</v>
      </c>
      <c r="K1" t="s">
        <v>271</v>
      </c>
    </row>
    <row r="2" spans="1:17" x14ac:dyDescent="0.25">
      <c r="A2" s="46" t="s">
        <v>191</v>
      </c>
      <c r="B2" s="47">
        <v>57349</v>
      </c>
      <c r="C2" s="47">
        <v>61699</v>
      </c>
      <c r="D2" s="47">
        <v>56636</v>
      </c>
      <c r="E2" s="48">
        <v>60258</v>
      </c>
      <c r="F2" s="45">
        <f t="shared" ref="F2:F23" si="0">AVERAGE(B2:E2)</f>
        <v>58985.5</v>
      </c>
      <c r="G2" s="54">
        <v>131</v>
      </c>
      <c r="H2" t="str">
        <f ca="1">INDIRECT("A"&amp;G2)</f>
        <v>April 01, 2010</v>
      </c>
      <c r="I2" s="14">
        <f ca="1">INDIRECT("F"&amp;G2)</f>
        <v>44361.802500000005</v>
      </c>
      <c r="J2">
        <v>82.63</v>
      </c>
      <c r="K2">
        <v>84.53</v>
      </c>
      <c r="L2" s="25">
        <v>50873</v>
      </c>
      <c r="M2">
        <v>2017</v>
      </c>
      <c r="O2" s="22">
        <f>L2/1000</f>
        <v>50.872999999999998</v>
      </c>
      <c r="Q2" s="49">
        <f>AVERAGE(F2:F23)</f>
        <v>50873.203333333324</v>
      </c>
    </row>
    <row r="3" spans="1:17" x14ac:dyDescent="0.25">
      <c r="A3" s="46" t="s">
        <v>192</v>
      </c>
      <c r="B3" s="47">
        <v>54143</v>
      </c>
      <c r="C3" s="47">
        <v>58478</v>
      </c>
      <c r="D3" s="47">
        <v>53430</v>
      </c>
      <c r="E3" s="48">
        <v>56934</v>
      </c>
      <c r="F3" s="45">
        <f t="shared" si="0"/>
        <v>55746.25</v>
      </c>
      <c r="G3" s="53">
        <f>G2-1</f>
        <v>130</v>
      </c>
      <c r="H3" t="str">
        <f ca="1">INDIRECT("A"&amp;G4)</f>
        <v>May 01, 2010</v>
      </c>
      <c r="I3" s="14">
        <f ca="1">INDIRECT("F"&amp;G4)</f>
        <v>46016.394999999997</v>
      </c>
      <c r="J3">
        <v>88.09</v>
      </c>
      <c r="K3">
        <v>86.19</v>
      </c>
      <c r="L3" s="25">
        <v>47277.21</v>
      </c>
      <c r="M3">
        <v>2016</v>
      </c>
      <c r="O3" s="22">
        <f t="shared" ref="O3:O8" si="1">L3/1000</f>
        <v>47.277209999999997</v>
      </c>
    </row>
    <row r="4" spans="1:17" x14ac:dyDescent="0.25">
      <c r="A4" s="46" t="s">
        <v>193</v>
      </c>
      <c r="B4" s="47">
        <v>53045</v>
      </c>
      <c r="C4" s="47">
        <v>57337</v>
      </c>
      <c r="D4" s="47">
        <v>52318</v>
      </c>
      <c r="E4" s="48">
        <v>55770</v>
      </c>
      <c r="F4" s="45">
        <f t="shared" si="0"/>
        <v>54617.5</v>
      </c>
      <c r="G4" s="53">
        <f t="shared" ref="G4:G67" si="2">G3-1</f>
        <v>129</v>
      </c>
      <c r="H4" t="str">
        <f ca="1">INDIRECT("A"&amp;G6)</f>
        <v>June 01, 2010</v>
      </c>
      <c r="I4" s="14">
        <f ca="1">INDIRECT("F"&amp;G6)</f>
        <v>42951.229999999996</v>
      </c>
      <c r="J4">
        <v>73.08</v>
      </c>
      <c r="K4">
        <v>72.7</v>
      </c>
      <c r="L4">
        <v>68370.447307692302</v>
      </c>
      <c r="M4">
        <v>2015</v>
      </c>
      <c r="O4" s="22">
        <f t="shared" si="1"/>
        <v>68.370447307692302</v>
      </c>
    </row>
    <row r="5" spans="1:17" x14ac:dyDescent="0.25">
      <c r="A5" s="46" t="s">
        <v>194</v>
      </c>
      <c r="B5" s="47">
        <v>50020</v>
      </c>
      <c r="C5" s="47">
        <v>54416</v>
      </c>
      <c r="D5" s="47">
        <v>49383</v>
      </c>
      <c r="E5" s="48">
        <v>52740</v>
      </c>
      <c r="F5" s="45">
        <f t="shared" si="0"/>
        <v>51639.75</v>
      </c>
      <c r="G5" s="53">
        <f t="shared" si="2"/>
        <v>128</v>
      </c>
      <c r="H5" t="str">
        <f ca="1">INDIRECT("A"&amp;G8)</f>
        <v>July 01, 2010</v>
      </c>
      <c r="I5" s="14">
        <f ca="1">INDIRECT("F"&amp;G8)</f>
        <v>45016.692500000005</v>
      </c>
      <c r="J5">
        <v>71.73</v>
      </c>
      <c r="K5">
        <v>72.95</v>
      </c>
      <c r="L5">
        <v>75749.376041666677</v>
      </c>
      <c r="M5">
        <v>2014</v>
      </c>
      <c r="O5" s="22">
        <f t="shared" si="1"/>
        <v>75.749376041666679</v>
      </c>
    </row>
    <row r="6" spans="1:17" x14ac:dyDescent="0.25">
      <c r="A6" s="46" t="s">
        <v>195</v>
      </c>
      <c r="B6" s="47" t="s">
        <v>196</v>
      </c>
      <c r="C6" s="47">
        <v>52535</v>
      </c>
      <c r="D6" s="47">
        <v>47459</v>
      </c>
      <c r="E6" s="48">
        <v>50784</v>
      </c>
      <c r="F6" s="45">
        <f t="shared" si="0"/>
        <v>50259.333333333336</v>
      </c>
      <c r="G6" s="53">
        <f t="shared" si="2"/>
        <v>127</v>
      </c>
      <c r="H6" t="str">
        <f ca="1">INDIRECT("A"&amp;G10)</f>
        <v>August 01, 2010</v>
      </c>
      <c r="I6" s="14">
        <f ca="1">INDIRECT("F"&amp;G10)</f>
        <v>44697.147499999999</v>
      </c>
      <c r="J6">
        <v>81.93</v>
      </c>
      <c r="K6">
        <v>81.25</v>
      </c>
      <c r="L6">
        <v>70800.461842105273</v>
      </c>
      <c r="M6">
        <v>2013</v>
      </c>
      <c r="O6" s="22">
        <f t="shared" si="1"/>
        <v>70.800461842105278</v>
      </c>
    </row>
    <row r="7" spans="1:17" x14ac:dyDescent="0.25">
      <c r="A7" s="46" t="s">
        <v>197</v>
      </c>
      <c r="B7" s="47">
        <v>47013</v>
      </c>
      <c r="C7" s="47">
        <v>51491</v>
      </c>
      <c r="D7" s="47">
        <v>46376</v>
      </c>
      <c r="E7" s="48">
        <v>49705</v>
      </c>
      <c r="F7" s="45">
        <f t="shared" si="0"/>
        <v>48646.25</v>
      </c>
      <c r="G7" s="53">
        <f t="shared" si="2"/>
        <v>126</v>
      </c>
      <c r="H7" t="str">
        <f ca="1">INDIRECT("A"&amp;G12)</f>
        <v>September 01, 2010</v>
      </c>
      <c r="I7" s="14">
        <f ca="1">INDIRECT("F"&amp;G12)</f>
        <v>43596.4</v>
      </c>
      <c r="J7">
        <v>75.53</v>
      </c>
      <c r="K7">
        <v>73.97</v>
      </c>
      <c r="L7">
        <v>63783.687980769209</v>
      </c>
      <c r="M7">
        <v>2012</v>
      </c>
      <c r="O7" s="22">
        <f t="shared" si="1"/>
        <v>63.783687980769209</v>
      </c>
    </row>
    <row r="8" spans="1:17" x14ac:dyDescent="0.25">
      <c r="A8" s="46" t="s">
        <v>198</v>
      </c>
      <c r="B8" s="47">
        <v>49730</v>
      </c>
      <c r="C8" s="47">
        <v>54463</v>
      </c>
      <c r="D8" s="47">
        <v>49115</v>
      </c>
      <c r="E8" s="48">
        <v>52461</v>
      </c>
      <c r="F8" s="45">
        <f t="shared" si="0"/>
        <v>51442.25</v>
      </c>
      <c r="G8" s="53">
        <f t="shared" si="2"/>
        <v>125</v>
      </c>
      <c r="H8" t="str">
        <f ca="1">INDIRECT("A"&amp;G14)</f>
        <v>October 01, 2010</v>
      </c>
      <c r="I8" s="14">
        <f ca="1">INDIRECT("F"&amp;G14)</f>
        <v>44195.267500000002</v>
      </c>
      <c r="J8">
        <v>82.69</v>
      </c>
      <c r="K8">
        <v>81.569999999999993</v>
      </c>
      <c r="L8">
        <v>47800.88104166666</v>
      </c>
      <c r="M8">
        <v>2011</v>
      </c>
      <c r="O8" s="22">
        <f t="shared" si="1"/>
        <v>47.800881041666663</v>
      </c>
    </row>
    <row r="9" spans="1:17" x14ac:dyDescent="0.25">
      <c r="A9" s="46" t="s">
        <v>199</v>
      </c>
      <c r="B9" s="47">
        <v>51696</v>
      </c>
      <c r="C9" s="47">
        <v>56430</v>
      </c>
      <c r="D9" s="47">
        <v>51110</v>
      </c>
      <c r="E9" s="48">
        <v>54505</v>
      </c>
      <c r="F9" s="45">
        <f t="shared" si="0"/>
        <v>53435.25</v>
      </c>
      <c r="G9" s="53">
        <f t="shared" si="2"/>
        <v>124</v>
      </c>
      <c r="H9" t="str">
        <f ca="1">INDIRECT("A"&amp;G16)</f>
        <v>November 01, 2010</v>
      </c>
      <c r="I9" s="14">
        <f ca="1">INDIRECT("F"&amp;G16)</f>
        <v>45777</v>
      </c>
      <c r="J9">
        <v>84.06</v>
      </c>
      <c r="K9">
        <v>82.94</v>
      </c>
    </row>
    <row r="10" spans="1:17" x14ac:dyDescent="0.25">
      <c r="A10" s="46" t="s">
        <v>200</v>
      </c>
      <c r="B10" s="47">
        <v>51482</v>
      </c>
      <c r="C10" s="47">
        <v>56268</v>
      </c>
      <c r="D10" s="47">
        <v>50896</v>
      </c>
      <c r="E10" s="48">
        <v>54324</v>
      </c>
      <c r="F10" s="45">
        <f t="shared" si="0"/>
        <v>53242.5</v>
      </c>
      <c r="G10" s="53">
        <f t="shared" si="2"/>
        <v>123</v>
      </c>
      <c r="H10" t="str">
        <f ca="1">INDIRECT("A"&amp;G18)</f>
        <v>December 01, 2010</v>
      </c>
      <c r="I10" s="14">
        <f ca="1">INDIRECT("F"&amp;G18)</f>
        <v>47892.115000000005</v>
      </c>
      <c r="J10">
        <v>88.56</v>
      </c>
      <c r="K10">
        <v>86.75</v>
      </c>
    </row>
    <row r="11" spans="1:17" x14ac:dyDescent="0.25">
      <c r="A11" s="46" t="s">
        <v>201</v>
      </c>
      <c r="B11" s="47">
        <v>54293.38</v>
      </c>
      <c r="C11" s="47">
        <v>59178.78</v>
      </c>
      <c r="D11" s="47">
        <v>53663.58</v>
      </c>
      <c r="E11" s="48">
        <v>57283.86</v>
      </c>
      <c r="F11" s="45">
        <f t="shared" si="0"/>
        <v>56104.899999999994</v>
      </c>
      <c r="G11" s="53">
        <f t="shared" si="2"/>
        <v>122</v>
      </c>
      <c r="H11" t="str">
        <f ca="1">INDIRECT("A"&amp;G20)</f>
        <v>January 01, 2011</v>
      </c>
      <c r="I11" s="14">
        <f ca="1">INDIRECT("F"&amp;G20)</f>
        <v>50576.880000000005</v>
      </c>
      <c r="J11">
        <v>95.82</v>
      </c>
      <c r="K11">
        <v>91.59</v>
      </c>
    </row>
    <row r="12" spans="1:17" x14ac:dyDescent="0.25">
      <c r="A12" s="46" t="s">
        <v>202</v>
      </c>
      <c r="B12" s="47">
        <v>54079.63</v>
      </c>
      <c r="C12" s="47">
        <v>58822.53</v>
      </c>
      <c r="D12" s="47">
        <v>53407.08</v>
      </c>
      <c r="E12" s="48">
        <v>56960.33</v>
      </c>
      <c r="F12" s="45">
        <f t="shared" si="0"/>
        <v>55817.392500000002</v>
      </c>
      <c r="G12" s="53">
        <f t="shared" si="2"/>
        <v>121</v>
      </c>
      <c r="H12" t="str">
        <f ca="1">INDIRECT("A"&amp;G22)</f>
        <v>February 01, 2011</v>
      </c>
      <c r="I12" s="14">
        <f ca="1">INDIRECT("F"&amp;G22)</f>
        <v>53872.264999999999</v>
      </c>
      <c r="J12">
        <v>100.4</v>
      </c>
      <c r="K12">
        <v>89.54</v>
      </c>
    </row>
    <row r="13" spans="1:17" x14ac:dyDescent="0.25">
      <c r="A13" s="46" t="s">
        <v>203</v>
      </c>
      <c r="B13" s="47">
        <v>52540.63</v>
      </c>
      <c r="C13" s="47">
        <v>57215.61</v>
      </c>
      <c r="D13" s="47">
        <v>51776.88</v>
      </c>
      <c r="E13" s="48">
        <v>55322.55</v>
      </c>
      <c r="F13" s="45">
        <f t="shared" si="0"/>
        <v>54213.917499999996</v>
      </c>
      <c r="G13" s="53">
        <f t="shared" si="2"/>
        <v>120</v>
      </c>
      <c r="H13" t="str">
        <f ca="1">INDIRECT("A"&amp;G24)</f>
        <v>March 01, 2011</v>
      </c>
      <c r="I13" s="14">
        <f ca="1">INDIRECT("F"&amp;G24)</f>
        <v>58021.292499999996</v>
      </c>
      <c r="J13">
        <v>113.34</v>
      </c>
      <c r="K13">
        <v>99.63</v>
      </c>
    </row>
    <row r="14" spans="1:17" x14ac:dyDescent="0.25">
      <c r="A14" s="46" t="s">
        <v>204</v>
      </c>
      <c r="B14" s="47">
        <v>48379.63</v>
      </c>
      <c r="C14" s="47">
        <v>53011.86</v>
      </c>
      <c r="D14" s="47">
        <v>47601.63</v>
      </c>
      <c r="E14" s="48">
        <v>50998.98</v>
      </c>
      <c r="F14" s="45">
        <f t="shared" si="0"/>
        <v>49998.025000000001</v>
      </c>
      <c r="G14" s="53">
        <f t="shared" si="2"/>
        <v>119</v>
      </c>
      <c r="H14" t="str">
        <f ca="1">INDIRECT("A"&amp;G26)</f>
        <v>April 01, 2011</v>
      </c>
      <c r="I14" s="14">
        <f ca="1">INDIRECT("F"&amp;G26)</f>
        <v>62458.097499999996</v>
      </c>
      <c r="J14">
        <v>118.63</v>
      </c>
      <c r="K14">
        <v>107.55</v>
      </c>
    </row>
    <row r="15" spans="1:17" x14ac:dyDescent="0.25">
      <c r="A15" s="46" t="s">
        <v>205</v>
      </c>
      <c r="B15" s="47">
        <v>50260.63</v>
      </c>
      <c r="C15" s="47">
        <v>54921.36</v>
      </c>
      <c r="D15" s="47">
        <v>49482.63</v>
      </c>
      <c r="E15" s="48">
        <v>52940.19</v>
      </c>
      <c r="F15" s="45">
        <f t="shared" si="0"/>
        <v>51901.202499999999</v>
      </c>
      <c r="G15" s="53">
        <f t="shared" si="2"/>
        <v>118</v>
      </c>
      <c r="H15" t="str">
        <f ca="1">INDIRECT("A"&amp;G28)</f>
        <v>May 01, 2011</v>
      </c>
      <c r="I15" s="14">
        <f ca="1">INDIRECT("F"&amp;G28)</f>
        <v>63967.75</v>
      </c>
      <c r="J15">
        <v>121.55</v>
      </c>
      <c r="K15">
        <v>113.03</v>
      </c>
    </row>
    <row r="16" spans="1:17" x14ac:dyDescent="0.25">
      <c r="A16" s="46" t="s">
        <v>206</v>
      </c>
      <c r="B16" s="47">
        <v>46826.38</v>
      </c>
      <c r="C16" s="47">
        <v>51562.45</v>
      </c>
      <c r="D16" s="47">
        <v>45933.21</v>
      </c>
      <c r="E16" s="48">
        <v>49447.19</v>
      </c>
      <c r="F16" s="45">
        <f t="shared" si="0"/>
        <v>48442.307499999995</v>
      </c>
      <c r="G16" s="53">
        <f t="shared" si="2"/>
        <v>117</v>
      </c>
      <c r="H16" t="str">
        <f ca="1">INDIRECT("A"&amp;G30)</f>
        <v>June 01, 2011</v>
      </c>
      <c r="I16" s="14">
        <f ca="1">INDIRECT("F"&amp;G30)</f>
        <v>59747.972500000003</v>
      </c>
      <c r="J16">
        <v>115.09</v>
      </c>
      <c r="K16">
        <v>100.3</v>
      </c>
    </row>
    <row r="17" spans="1:11" x14ac:dyDescent="0.25">
      <c r="A17" s="46" t="s">
        <v>207</v>
      </c>
      <c r="B17" s="47">
        <v>45411.18</v>
      </c>
      <c r="C17" s="47">
        <v>50265.7</v>
      </c>
      <c r="D17" s="47">
        <v>44418.05</v>
      </c>
      <c r="E17" s="48">
        <v>48108.95</v>
      </c>
      <c r="F17" s="45">
        <f t="shared" si="0"/>
        <v>47050.97</v>
      </c>
      <c r="G17" s="53">
        <f t="shared" si="2"/>
        <v>116</v>
      </c>
      <c r="H17" t="str">
        <f ca="1">INDIRECT("A"&amp;G32)</f>
        <v>July 01, 2011</v>
      </c>
      <c r="I17" s="14">
        <f ca="1">INDIRECT("F"&amp;G32)</f>
        <v>59498.082499999997</v>
      </c>
      <c r="J17">
        <v>113.55</v>
      </c>
      <c r="K17">
        <v>94.81</v>
      </c>
    </row>
    <row r="18" spans="1:11" x14ac:dyDescent="0.25">
      <c r="A18" s="46" t="s">
        <v>208</v>
      </c>
      <c r="B18" s="47">
        <v>47206.68</v>
      </c>
      <c r="C18" s="47">
        <v>52089.7</v>
      </c>
      <c r="D18" s="47">
        <v>46242.05</v>
      </c>
      <c r="E18" s="48">
        <v>49991.32</v>
      </c>
      <c r="F18" s="45">
        <f t="shared" si="0"/>
        <v>48882.4375</v>
      </c>
      <c r="G18" s="53">
        <f t="shared" si="2"/>
        <v>115</v>
      </c>
      <c r="H18" t="str">
        <f ca="1">INDIRECT("A"&amp;G34)</f>
        <v>August 01, 2011</v>
      </c>
      <c r="I18" s="14">
        <f ca="1">INDIRECT("F"&amp;G34)</f>
        <v>61142.5</v>
      </c>
      <c r="J18">
        <v>113.74</v>
      </c>
      <c r="K18">
        <v>94.98</v>
      </c>
    </row>
    <row r="19" spans="1:11" x14ac:dyDescent="0.25">
      <c r="A19" s="46" t="s">
        <v>209</v>
      </c>
      <c r="B19" s="47">
        <v>49287.18</v>
      </c>
      <c r="C19" s="47">
        <v>54114.43</v>
      </c>
      <c r="D19" s="47">
        <v>48322.55</v>
      </c>
      <c r="E19" s="48">
        <v>52110.63</v>
      </c>
      <c r="F19" s="45">
        <f t="shared" si="0"/>
        <v>50958.697500000002</v>
      </c>
      <c r="G19" s="53">
        <f t="shared" si="2"/>
        <v>114</v>
      </c>
      <c r="H19" t="str">
        <f ca="1">INDIRECT("A"&amp;G36)</f>
        <v>September 01, 2011</v>
      </c>
      <c r="I19" s="14">
        <f ca="1">INDIRECT("F"&amp;G36)</f>
        <v>59492</v>
      </c>
      <c r="J19">
        <v>117.5</v>
      </c>
      <c r="K19">
        <v>88.93</v>
      </c>
    </row>
    <row r="20" spans="1:11" x14ac:dyDescent="0.25">
      <c r="A20" s="46" t="s">
        <v>210</v>
      </c>
      <c r="B20" s="47">
        <v>46729.48</v>
      </c>
      <c r="C20" s="47">
        <v>51492.43</v>
      </c>
      <c r="D20" s="47">
        <v>45700.55</v>
      </c>
      <c r="E20" s="48">
        <v>49404.73</v>
      </c>
      <c r="F20" s="45">
        <f t="shared" si="0"/>
        <v>48331.797500000008</v>
      </c>
      <c r="G20" s="53">
        <f t="shared" si="2"/>
        <v>113</v>
      </c>
      <c r="H20" t="str">
        <f ca="1">INDIRECT("A"&amp;G38)</f>
        <v>October 01, 2011</v>
      </c>
      <c r="I20" s="14">
        <f ca="1">INDIRECT("F"&amp;G38)</f>
        <v>61886.75</v>
      </c>
      <c r="J20">
        <v>104.38</v>
      </c>
      <c r="K20">
        <v>77.34</v>
      </c>
    </row>
    <row r="21" spans="1:11" x14ac:dyDescent="0.25">
      <c r="A21" s="46" t="s">
        <v>211</v>
      </c>
      <c r="B21" s="47">
        <v>42784.01</v>
      </c>
      <c r="C21" s="47">
        <v>47561.18</v>
      </c>
      <c r="D21" s="47">
        <v>41756.160000000003</v>
      </c>
      <c r="E21" s="48">
        <v>45346.82</v>
      </c>
      <c r="F21" s="45">
        <f t="shared" si="0"/>
        <v>44362.042500000003</v>
      </c>
      <c r="G21" s="53">
        <f t="shared" si="2"/>
        <v>112</v>
      </c>
      <c r="H21" t="str">
        <f ca="1">INDIRECT("A"&amp;G41)</f>
        <v>November 01, 2011</v>
      </c>
      <c r="I21" s="14">
        <f ca="1">INDIRECT("F"&amp;G41)</f>
        <v>64490.415000000008</v>
      </c>
      <c r="J21">
        <v>112.22</v>
      </c>
      <c r="K21">
        <v>92.19</v>
      </c>
    </row>
    <row r="22" spans="1:11" x14ac:dyDescent="0.25">
      <c r="A22" s="46" t="s">
        <v>212</v>
      </c>
      <c r="B22" s="47" t="s">
        <v>213</v>
      </c>
      <c r="C22" s="47" t="s">
        <v>213</v>
      </c>
      <c r="D22" s="47">
        <v>41171.910000000003</v>
      </c>
      <c r="E22" s="48" t="s">
        <v>213</v>
      </c>
      <c r="F22" s="45">
        <f t="shared" si="0"/>
        <v>41171.910000000003</v>
      </c>
      <c r="G22" s="53">
        <f t="shared" si="2"/>
        <v>111</v>
      </c>
      <c r="H22" t="str">
        <f ca="1">INDIRECT("A"&amp;G43)</f>
        <v>December 01, 2011</v>
      </c>
      <c r="I22" s="14">
        <f ca="1">INDIRECT("F"&amp;G43)</f>
        <v>68172.649999999994</v>
      </c>
      <c r="J22">
        <v>110.16</v>
      </c>
      <c r="K22">
        <v>100.2</v>
      </c>
    </row>
    <row r="23" spans="1:11" x14ac:dyDescent="0.25">
      <c r="A23" s="46" t="s">
        <v>214</v>
      </c>
      <c r="B23" s="47">
        <v>42157.01</v>
      </c>
      <c r="C23" s="47">
        <v>47094.080000000002</v>
      </c>
      <c r="D23" s="47">
        <v>41768.99</v>
      </c>
      <c r="E23" s="48">
        <v>44821.08</v>
      </c>
      <c r="F23" s="45">
        <f t="shared" si="0"/>
        <v>43960.289999999994</v>
      </c>
      <c r="G23" s="53">
        <f t="shared" si="2"/>
        <v>110</v>
      </c>
      <c r="H23" t="str">
        <f ca="1">INDIRECT("A"&amp;G45)</f>
        <v>January 01, 2012</v>
      </c>
      <c r="I23" s="14">
        <f ca="1">INDIRECT("F"&amp;G45)</f>
        <v>66600.057499999995</v>
      </c>
      <c r="J23">
        <v>111.07</v>
      </c>
      <c r="K23">
        <v>102.96</v>
      </c>
    </row>
    <row r="24" spans="1:11" x14ac:dyDescent="0.25">
      <c r="A24" s="46" t="s">
        <v>215</v>
      </c>
      <c r="B24" s="47">
        <v>38785.46</v>
      </c>
      <c r="C24" s="47">
        <v>43893.53</v>
      </c>
      <c r="D24" s="47">
        <v>38425.94</v>
      </c>
      <c r="E24" s="48">
        <v>41459.29</v>
      </c>
      <c r="F24" s="45">
        <f t="shared" ref="F24:F37" si="3">AVERAGE(B24:E24)</f>
        <v>40641.055</v>
      </c>
      <c r="G24" s="53">
        <f t="shared" si="2"/>
        <v>109</v>
      </c>
      <c r="H24" t="str">
        <f ca="1">INDIRECT("A"&amp;G47)</f>
        <v>February 01, 2012</v>
      </c>
      <c r="I24" s="14">
        <f ca="1">INDIRECT("F"&amp;G47)</f>
        <v>66407.39</v>
      </c>
      <c r="J24">
        <v>116.86</v>
      </c>
      <c r="K24">
        <v>97.63</v>
      </c>
    </row>
    <row r="25" spans="1:11" x14ac:dyDescent="0.25">
      <c r="A25" s="46" t="s">
        <v>216</v>
      </c>
      <c r="B25" s="47">
        <v>39301.31</v>
      </c>
      <c r="C25" s="47">
        <v>46038.16</v>
      </c>
      <c r="D25" s="47">
        <v>38425.94</v>
      </c>
      <c r="E25" s="48">
        <v>41991.65</v>
      </c>
      <c r="F25" s="45">
        <f t="shared" si="3"/>
        <v>41439.264999999999</v>
      </c>
      <c r="G25" s="53">
        <f t="shared" si="2"/>
        <v>108</v>
      </c>
      <c r="H25" t="str">
        <f ca="1">INDIRECT("A"&amp;G49)</f>
        <v>March 01, 2012</v>
      </c>
      <c r="I25" s="14">
        <f ca="1">INDIRECT("F"&amp;G49)</f>
        <v>68179.902499999997</v>
      </c>
      <c r="J25">
        <v>125.37</v>
      </c>
      <c r="K25">
        <v>108.76</v>
      </c>
    </row>
    <row r="26" spans="1:11" x14ac:dyDescent="0.25">
      <c r="A26" s="46" t="s">
        <v>217</v>
      </c>
      <c r="B26" s="47">
        <v>35126.82</v>
      </c>
      <c r="C26" s="47">
        <v>41482.089999999997</v>
      </c>
      <c r="D26" s="47">
        <v>34284.019999999997</v>
      </c>
      <c r="E26" s="48">
        <v>37594.239999999998</v>
      </c>
      <c r="F26" s="45">
        <f t="shared" si="3"/>
        <v>37121.792499999996</v>
      </c>
      <c r="G26" s="53">
        <f t="shared" si="2"/>
        <v>107</v>
      </c>
      <c r="H26" t="str">
        <f ca="1">INDIRECT("A"&amp;G52)</f>
        <v>April 01, 2012</v>
      </c>
      <c r="I26" s="14">
        <f ca="1">INDIRECT("F"&amp;G52)</f>
        <v>71514.102500000008</v>
      </c>
      <c r="J26">
        <v>121.89</v>
      </c>
      <c r="K26">
        <v>105.25</v>
      </c>
    </row>
    <row r="27" spans="1:11" x14ac:dyDescent="0.25">
      <c r="A27" s="46" t="s">
        <v>218</v>
      </c>
      <c r="B27" s="47">
        <v>39892.32</v>
      </c>
      <c r="C27" s="47">
        <v>46368.94</v>
      </c>
      <c r="D27" s="47">
        <v>39009.019999999997</v>
      </c>
      <c r="E27" s="48">
        <v>42418.64</v>
      </c>
      <c r="F27" s="45">
        <f t="shared" si="3"/>
        <v>41922.229999999996</v>
      </c>
      <c r="G27" s="53">
        <f t="shared" si="2"/>
        <v>106</v>
      </c>
      <c r="H27" t="str">
        <f ca="1">INDIRECT("A"&amp;G54)</f>
        <v>May 01, 2012</v>
      </c>
      <c r="I27" s="14">
        <f ca="1">INDIRECT("F"&amp;G54)</f>
        <v>71028.237500000003</v>
      </c>
      <c r="J27">
        <v>111.89</v>
      </c>
      <c r="K27">
        <v>106.17</v>
      </c>
    </row>
    <row r="28" spans="1:11" x14ac:dyDescent="0.25">
      <c r="A28" s="46" t="s">
        <v>219</v>
      </c>
      <c r="B28" s="47">
        <v>44320.32</v>
      </c>
      <c r="C28" s="47">
        <v>50837.440000000002</v>
      </c>
      <c r="D28" s="47">
        <v>43450.52</v>
      </c>
      <c r="E28" s="48">
        <v>47016.2</v>
      </c>
      <c r="F28" s="45">
        <f t="shared" si="3"/>
        <v>46406.119999999995</v>
      </c>
      <c r="G28" s="53">
        <f t="shared" si="2"/>
        <v>105</v>
      </c>
      <c r="H28" t="str">
        <f ca="1">INDIRECT("A"&amp;G56)</f>
        <v>June 01, 2012</v>
      </c>
      <c r="I28" s="14">
        <f ca="1">INDIRECT("F"&amp;G56)</f>
        <v>69315.494999999995</v>
      </c>
      <c r="J28">
        <v>98.6</v>
      </c>
      <c r="K28">
        <v>83.17</v>
      </c>
    </row>
    <row r="29" spans="1:11" x14ac:dyDescent="0.25">
      <c r="A29" s="46" t="s">
        <v>220</v>
      </c>
      <c r="B29" s="47">
        <v>44846.82</v>
      </c>
      <c r="C29" s="47">
        <v>51404.44</v>
      </c>
      <c r="D29" s="47">
        <v>43977.02</v>
      </c>
      <c r="E29" s="48">
        <v>47587.41</v>
      </c>
      <c r="F29" s="45">
        <f t="shared" si="3"/>
        <v>46953.922500000001</v>
      </c>
      <c r="G29" s="53">
        <f t="shared" si="2"/>
        <v>104</v>
      </c>
      <c r="H29" t="str">
        <f ca="1">INDIRECT("A"&amp;G58)</f>
        <v>July 01, 2012</v>
      </c>
      <c r="I29" s="14">
        <f ca="1">INDIRECT("F"&amp;G58)</f>
        <v>64652</v>
      </c>
      <c r="J29">
        <v>99.23</v>
      </c>
      <c r="K29">
        <v>83.72</v>
      </c>
    </row>
    <row r="30" spans="1:11" x14ac:dyDescent="0.25">
      <c r="A30" s="46" t="s">
        <v>221</v>
      </c>
      <c r="B30" s="47">
        <v>43041.61</v>
      </c>
      <c r="C30" s="47">
        <v>51392.23</v>
      </c>
      <c r="D30" s="47">
        <v>43966.25</v>
      </c>
      <c r="E30" s="48">
        <v>47574.35</v>
      </c>
      <c r="F30" s="45">
        <f t="shared" si="3"/>
        <v>46493.61</v>
      </c>
      <c r="G30" s="53">
        <f t="shared" si="2"/>
        <v>103</v>
      </c>
      <c r="H30" t="str">
        <f ca="1">INDIRECT("A"&amp;G60)</f>
        <v>August 01, 2012</v>
      </c>
      <c r="I30" s="14">
        <f ca="1">INDIRECT("F"&amp;G60)</f>
        <v>68561.290000000008</v>
      </c>
      <c r="J30">
        <v>113.52</v>
      </c>
      <c r="K30">
        <v>88.99</v>
      </c>
    </row>
    <row r="31" spans="1:11" x14ac:dyDescent="0.25">
      <c r="A31" s="46" t="s">
        <v>222</v>
      </c>
      <c r="B31" s="47">
        <v>43184.17</v>
      </c>
      <c r="C31" s="47">
        <v>51681.42</v>
      </c>
      <c r="D31" s="47">
        <v>44141.75</v>
      </c>
      <c r="E31" s="48">
        <v>47858.559999999998</v>
      </c>
      <c r="F31" s="45">
        <f t="shared" si="3"/>
        <v>46716.474999999999</v>
      </c>
      <c r="G31" s="53">
        <f t="shared" si="2"/>
        <v>102</v>
      </c>
      <c r="H31" t="str">
        <f ca="1">INDIRECT("A"&amp;G62)</f>
        <v>September 01, 2012</v>
      </c>
      <c r="I31" s="14">
        <f ca="1">INDIRECT("F"&amp;G62)</f>
        <v>75263.342499999999</v>
      </c>
      <c r="J31">
        <v>114.86</v>
      </c>
      <c r="K31">
        <v>95.34</v>
      </c>
    </row>
    <row r="32" spans="1:11" x14ac:dyDescent="0.25">
      <c r="A32" s="46" t="s">
        <v>223</v>
      </c>
      <c r="B32" s="47">
        <v>40938.239999999998</v>
      </c>
      <c r="C32" s="47">
        <v>49318.92</v>
      </c>
      <c r="D32" s="47">
        <v>41846.75</v>
      </c>
      <c r="E32" s="48">
        <v>45448.32</v>
      </c>
      <c r="F32" s="45">
        <f t="shared" si="3"/>
        <v>44388.057500000003</v>
      </c>
      <c r="G32" s="53">
        <f t="shared" si="2"/>
        <v>101</v>
      </c>
      <c r="H32" t="str">
        <f ca="1">INDIRECT("A"&amp;G64)</f>
        <v>October 01, 2012</v>
      </c>
      <c r="I32" s="14">
        <f ca="1">INDIRECT("F"&amp;G64)</f>
        <v>73406.565000000002</v>
      </c>
      <c r="J32">
        <v>114.32</v>
      </c>
      <c r="K32">
        <v>92.44</v>
      </c>
    </row>
    <row r="33" spans="1:11" x14ac:dyDescent="0.25">
      <c r="A33" s="46" t="s">
        <v>224</v>
      </c>
      <c r="B33" s="47">
        <v>46407.360000000001</v>
      </c>
      <c r="C33" s="47">
        <v>55677.42</v>
      </c>
      <c r="D33" s="47">
        <v>47516.75</v>
      </c>
      <c r="E33" s="48">
        <v>51216.17</v>
      </c>
      <c r="F33" s="45">
        <f t="shared" si="3"/>
        <v>50204.425000000003</v>
      </c>
      <c r="G33" s="53">
        <f t="shared" si="2"/>
        <v>100</v>
      </c>
      <c r="H33" t="str">
        <f t="shared" ref="H33:H52" ca="1" si="4">INDIRECT("A"&amp;G66)</f>
        <v>November 01, 2012</v>
      </c>
      <c r="I33" s="14">
        <f t="shared" ref="I33:I52" ca="1" si="5">INDIRECT("F"&amp;G66)</f>
        <v>71455.929999999993</v>
      </c>
      <c r="J33">
        <v>108.61</v>
      </c>
      <c r="K33">
        <v>87.05</v>
      </c>
    </row>
    <row r="34" spans="1:11" x14ac:dyDescent="0.25">
      <c r="A34" s="46" t="s">
        <v>225</v>
      </c>
      <c r="B34" s="47">
        <v>51267.360000000001</v>
      </c>
      <c r="C34" s="47">
        <v>60781.87</v>
      </c>
      <c r="D34" s="47">
        <v>52592.75</v>
      </c>
      <c r="E34" s="48">
        <v>56522.06</v>
      </c>
      <c r="F34" s="50">
        <f t="shared" si="3"/>
        <v>55291.01</v>
      </c>
      <c r="G34" s="53">
        <f t="shared" si="2"/>
        <v>99</v>
      </c>
      <c r="H34" t="str">
        <f t="shared" ca="1" si="4"/>
        <v>December 01, 2012</v>
      </c>
      <c r="I34" s="14">
        <f t="shared" ca="1" si="5"/>
        <v>70760.785000000003</v>
      </c>
      <c r="J34">
        <v>107.6</v>
      </c>
      <c r="K34">
        <v>88.69</v>
      </c>
    </row>
    <row r="35" spans="1:11" x14ac:dyDescent="0.25">
      <c r="A35" s="46" t="s">
        <v>226</v>
      </c>
      <c r="B35" s="47">
        <v>53353.919999999998</v>
      </c>
      <c r="C35" s="47">
        <v>62928.37</v>
      </c>
      <c r="D35" s="47">
        <v>54727.49</v>
      </c>
      <c r="E35" s="48">
        <v>58723.32</v>
      </c>
      <c r="F35" s="45">
        <f t="shared" si="3"/>
        <v>57433.275000000001</v>
      </c>
      <c r="G35" s="53">
        <f t="shared" si="2"/>
        <v>98</v>
      </c>
      <c r="H35" t="str">
        <f t="shared" ca="1" si="4"/>
        <v>January 01, 2013</v>
      </c>
      <c r="I35" s="14">
        <f t="shared" ca="1" si="5"/>
        <v>70473.55</v>
      </c>
      <c r="J35">
        <v>112.97</v>
      </c>
      <c r="K35">
        <v>93.14</v>
      </c>
    </row>
    <row r="36" spans="1:11" x14ac:dyDescent="0.25">
      <c r="A36" s="46" t="s">
        <v>227</v>
      </c>
      <c r="B36" s="47">
        <v>49609.84</v>
      </c>
      <c r="C36" s="47">
        <v>59122.8</v>
      </c>
      <c r="D36" s="47">
        <v>50844.43</v>
      </c>
      <c r="E36" s="48">
        <v>54779.66</v>
      </c>
      <c r="F36" s="45">
        <f t="shared" si="3"/>
        <v>53589.182500000003</v>
      </c>
      <c r="G36" s="53">
        <f t="shared" si="2"/>
        <v>97</v>
      </c>
      <c r="H36" t="str">
        <f t="shared" ca="1" si="4"/>
        <v>February 01, 2013</v>
      </c>
      <c r="I36" s="14">
        <f t="shared" ca="1" si="5"/>
        <v>71872.722499999989</v>
      </c>
      <c r="J36">
        <v>118.29</v>
      </c>
      <c r="K36">
        <v>97.46</v>
      </c>
    </row>
    <row r="37" spans="1:11" x14ac:dyDescent="0.25">
      <c r="A37" s="46" t="s">
        <v>228</v>
      </c>
      <c r="B37" s="47">
        <v>49338</v>
      </c>
      <c r="C37" s="47">
        <v>58614</v>
      </c>
      <c r="D37" s="47">
        <v>50713</v>
      </c>
      <c r="E37" s="48">
        <v>54457</v>
      </c>
      <c r="F37" s="45">
        <f t="shared" si="3"/>
        <v>53280.5</v>
      </c>
      <c r="G37" s="53">
        <f t="shared" si="2"/>
        <v>96</v>
      </c>
      <c r="H37" t="str">
        <f t="shared" ca="1" si="4"/>
        <v>March 01, 2013</v>
      </c>
      <c r="I37" s="14">
        <f t="shared" ca="1" si="5"/>
        <v>74502.547500000001</v>
      </c>
      <c r="J37">
        <v>108.64</v>
      </c>
      <c r="K37">
        <v>90.71</v>
      </c>
    </row>
    <row r="38" spans="1:11" x14ac:dyDescent="0.25">
      <c r="A38" s="46" t="s">
        <v>229</v>
      </c>
      <c r="B38" s="47">
        <v>50363</v>
      </c>
      <c r="C38" s="47">
        <v>59479</v>
      </c>
      <c r="D38" s="47">
        <v>51704</v>
      </c>
      <c r="E38" s="48">
        <v>55346</v>
      </c>
      <c r="F38" s="45">
        <f t="shared" ref="F38:F50" si="6">AVERAGE(B38:E38)</f>
        <v>54223</v>
      </c>
      <c r="G38" s="53">
        <f t="shared" si="2"/>
        <v>95</v>
      </c>
      <c r="H38" t="str">
        <f t="shared" ca="1" si="4"/>
        <v>April 01, 2013</v>
      </c>
      <c r="I38" s="14">
        <f t="shared" ca="1" si="5"/>
        <v>70671.505000000005</v>
      </c>
      <c r="J38">
        <v>104.08</v>
      </c>
      <c r="K38">
        <v>97.1</v>
      </c>
    </row>
    <row r="39" spans="1:11" x14ac:dyDescent="0.25">
      <c r="A39" s="46" t="s">
        <v>230</v>
      </c>
      <c r="B39" s="47">
        <v>46513.03</v>
      </c>
      <c r="C39" s="47">
        <v>55444.15</v>
      </c>
      <c r="D39" s="47">
        <v>47691.9</v>
      </c>
      <c r="E39" s="48">
        <v>51182.36</v>
      </c>
      <c r="F39" s="45">
        <f t="shared" si="6"/>
        <v>50207.86</v>
      </c>
      <c r="G39" s="53">
        <f t="shared" si="2"/>
        <v>94</v>
      </c>
      <c r="H39" t="str">
        <f t="shared" ca="1" si="4"/>
        <v>May 01, 2013</v>
      </c>
      <c r="I39" s="14">
        <f t="shared" ca="1" si="5"/>
        <v>66995.097500000003</v>
      </c>
      <c r="J39">
        <v>103.59</v>
      </c>
      <c r="K39">
        <v>90.74</v>
      </c>
    </row>
    <row r="40" spans="1:11" x14ac:dyDescent="0.25">
      <c r="A40" s="46" t="s">
        <v>231</v>
      </c>
      <c r="B40" s="47">
        <v>52423</v>
      </c>
      <c r="C40" s="47">
        <v>61525</v>
      </c>
      <c r="D40" s="47">
        <v>53862</v>
      </c>
      <c r="E40" s="48">
        <v>57457</v>
      </c>
      <c r="F40" s="45">
        <f t="shared" si="6"/>
        <v>56316.75</v>
      </c>
      <c r="G40" s="53">
        <f t="shared" si="2"/>
        <v>93</v>
      </c>
      <c r="H40" t="str">
        <f t="shared" ca="1" si="4"/>
        <v>June 01, 2013</v>
      </c>
      <c r="I40" s="14">
        <f t="shared" ca="1" si="5"/>
        <v>66745.172499999986</v>
      </c>
      <c r="J40">
        <v>101.5</v>
      </c>
      <c r="K40">
        <v>93.41</v>
      </c>
    </row>
    <row r="41" spans="1:11" x14ac:dyDescent="0.25">
      <c r="A41" s="46" t="s">
        <v>232</v>
      </c>
      <c r="B41" s="47">
        <v>59943</v>
      </c>
      <c r="C41" s="47">
        <v>69386</v>
      </c>
      <c r="D41" s="47">
        <v>61695</v>
      </c>
      <c r="E41" s="48">
        <v>65556</v>
      </c>
      <c r="F41" s="45">
        <f t="shared" si="6"/>
        <v>64145</v>
      </c>
      <c r="G41" s="53">
        <f t="shared" si="2"/>
        <v>92</v>
      </c>
      <c r="H41" t="str">
        <f t="shared" ca="1" si="4"/>
        <v>July 01, 2013</v>
      </c>
      <c r="I41" s="14">
        <f t="shared" ca="1" si="5"/>
        <v>70506.75</v>
      </c>
      <c r="J41">
        <v>108.43</v>
      </c>
      <c r="K41">
        <v>97.94</v>
      </c>
    </row>
    <row r="42" spans="1:11" x14ac:dyDescent="0.25">
      <c r="A42" s="46" t="s">
        <v>233</v>
      </c>
      <c r="B42" s="47">
        <v>62537.93</v>
      </c>
      <c r="C42" s="47">
        <v>72214.17</v>
      </c>
      <c r="D42" s="47">
        <v>64414.98</v>
      </c>
      <c r="E42" s="48">
        <v>68432.11</v>
      </c>
      <c r="F42" s="45">
        <f t="shared" si="6"/>
        <v>66899.797500000001</v>
      </c>
      <c r="G42" s="53">
        <f t="shared" si="2"/>
        <v>91</v>
      </c>
      <c r="H42" t="str">
        <f t="shared" ca="1" si="4"/>
        <v>August 01, 2013</v>
      </c>
      <c r="I42" s="14">
        <f t="shared" ca="1" si="5"/>
        <v>74827.64499999999</v>
      </c>
      <c r="J42">
        <v>108.49</v>
      </c>
      <c r="K42">
        <v>107.93</v>
      </c>
    </row>
    <row r="43" spans="1:11" x14ac:dyDescent="0.25">
      <c r="A43" s="46" t="s">
        <v>234</v>
      </c>
      <c r="B43" s="47">
        <v>67525.63</v>
      </c>
      <c r="C43" s="47">
        <v>77372.56</v>
      </c>
      <c r="D43" s="47">
        <v>69610.5</v>
      </c>
      <c r="E43" s="48">
        <v>73775.91</v>
      </c>
      <c r="F43" s="45">
        <f t="shared" si="6"/>
        <v>72071.149999999994</v>
      </c>
      <c r="G43" s="53">
        <f t="shared" si="2"/>
        <v>90</v>
      </c>
      <c r="H43" t="str">
        <f t="shared" ca="1" si="4"/>
        <v>September 01, 2013</v>
      </c>
      <c r="I43" s="14">
        <f t="shared" ca="1" si="5"/>
        <v>80012.239999999991</v>
      </c>
      <c r="J43">
        <v>112.37</v>
      </c>
      <c r="K43">
        <v>108.67</v>
      </c>
    </row>
    <row r="44" spans="1:11" x14ac:dyDescent="0.25">
      <c r="A44" s="46" t="s">
        <v>235</v>
      </c>
      <c r="B44" s="47">
        <v>69603.25</v>
      </c>
      <c r="C44" s="47">
        <v>79537.36</v>
      </c>
      <c r="D44" s="47">
        <v>71829.42</v>
      </c>
      <c r="E44" s="48">
        <v>76023.95</v>
      </c>
      <c r="F44" s="45">
        <f t="shared" si="6"/>
        <v>74248.494999999995</v>
      </c>
      <c r="G44" s="53">
        <f t="shared" si="2"/>
        <v>89</v>
      </c>
      <c r="H44" t="str">
        <f t="shared" ca="1" si="4"/>
        <v>October 01, 2013</v>
      </c>
      <c r="I44" s="14">
        <f t="shared" ca="1" si="5"/>
        <v>82073.537499999991</v>
      </c>
      <c r="J44">
        <v>109.02</v>
      </c>
      <c r="K44">
        <v>102.09</v>
      </c>
    </row>
    <row r="45" spans="1:11" x14ac:dyDescent="0.25">
      <c r="A45" s="46" t="s">
        <v>236</v>
      </c>
      <c r="B45" s="47">
        <v>70044.87</v>
      </c>
      <c r="C45" s="47">
        <v>79956.789999999994</v>
      </c>
      <c r="D45" s="47">
        <v>72289.440000000002</v>
      </c>
      <c r="E45" s="48">
        <v>76470.759999999995</v>
      </c>
      <c r="F45" s="45">
        <f t="shared" si="6"/>
        <v>74690.464999999997</v>
      </c>
      <c r="G45" s="53">
        <f t="shared" si="2"/>
        <v>88</v>
      </c>
      <c r="H45" t="str">
        <f t="shared" ca="1" si="4"/>
        <v>November 01, 2013</v>
      </c>
      <c r="I45" s="14">
        <f t="shared" ca="1" si="5"/>
        <v>78427.930000000008</v>
      </c>
      <c r="J45">
        <v>105.76</v>
      </c>
      <c r="K45">
        <v>94.56</v>
      </c>
    </row>
    <row r="46" spans="1:11" x14ac:dyDescent="0.25">
      <c r="A46" s="46" t="s">
        <v>237</v>
      </c>
      <c r="B46" s="47">
        <v>70161.759999999995</v>
      </c>
      <c r="C46" s="47">
        <v>80076.09</v>
      </c>
      <c r="D46" s="47">
        <v>72411.210000000006</v>
      </c>
      <c r="E46" s="48">
        <v>76527.22</v>
      </c>
      <c r="F46" s="45">
        <f t="shared" si="6"/>
        <v>74794.070000000007</v>
      </c>
      <c r="G46" s="53">
        <f t="shared" si="2"/>
        <v>87</v>
      </c>
      <c r="H46" t="str">
        <f t="shared" ca="1" si="4"/>
        <v>December 01, 2013</v>
      </c>
      <c r="I46" s="14">
        <f t="shared" ca="1" si="5"/>
        <v>79031.934999999998</v>
      </c>
      <c r="J46">
        <v>108.91</v>
      </c>
      <c r="K46">
        <v>93.61</v>
      </c>
    </row>
    <row r="47" spans="1:11" x14ac:dyDescent="0.25">
      <c r="A47" s="46" t="s">
        <v>238</v>
      </c>
      <c r="B47" s="47">
        <v>69779.91</v>
      </c>
      <c r="C47" s="47">
        <v>79869.08</v>
      </c>
      <c r="D47" s="47">
        <v>71940.36</v>
      </c>
      <c r="E47" s="48">
        <v>76049.69</v>
      </c>
      <c r="F47" s="45">
        <f t="shared" si="6"/>
        <v>74409.759999999995</v>
      </c>
      <c r="G47" s="53">
        <f t="shared" si="2"/>
        <v>86</v>
      </c>
      <c r="H47" t="str">
        <f t="shared" ca="1" si="4"/>
        <v>January 01, 2014</v>
      </c>
      <c r="I47" s="14">
        <f t="shared" ca="1" si="5"/>
        <v>81109.532500000001</v>
      </c>
      <c r="J47">
        <v>106.44</v>
      </c>
      <c r="K47">
        <v>95.14</v>
      </c>
    </row>
    <row r="48" spans="1:11" x14ac:dyDescent="0.25">
      <c r="A48" s="46" t="s">
        <v>239</v>
      </c>
      <c r="B48" s="47">
        <v>69747.98</v>
      </c>
      <c r="C48" s="47">
        <v>79869.08</v>
      </c>
      <c r="D48" s="47">
        <v>71940.36</v>
      </c>
      <c r="E48" s="48">
        <v>76049.69</v>
      </c>
      <c r="F48" s="45">
        <f t="shared" si="6"/>
        <v>74401.777499999997</v>
      </c>
      <c r="G48" s="53">
        <f t="shared" si="2"/>
        <v>85</v>
      </c>
      <c r="H48" t="str">
        <f t="shared" ca="1" si="4"/>
        <v>February 01, 2014</v>
      </c>
      <c r="I48" s="14">
        <f t="shared" ca="1" si="5"/>
        <v>78878.304999999993</v>
      </c>
      <c r="J48">
        <v>110.18</v>
      </c>
      <c r="K48">
        <v>96.44</v>
      </c>
    </row>
    <row r="49" spans="1:11" x14ac:dyDescent="0.25">
      <c r="A49" s="46" t="s">
        <v>240</v>
      </c>
      <c r="B49" s="47">
        <v>71033.87</v>
      </c>
      <c r="C49" s="47">
        <v>81316.789999999994</v>
      </c>
      <c r="D49" s="47">
        <v>73306.89</v>
      </c>
      <c r="E49" s="48">
        <v>77529.759999999995</v>
      </c>
      <c r="F49" s="45">
        <f t="shared" si="6"/>
        <v>75796.827499999999</v>
      </c>
      <c r="G49" s="53">
        <f t="shared" si="2"/>
        <v>84</v>
      </c>
      <c r="H49" t="str">
        <f t="shared" ca="1" si="4"/>
        <v>March 01, 2014</v>
      </c>
      <c r="I49" s="14">
        <f t="shared" ca="1" si="5"/>
        <v>79712.862500000003</v>
      </c>
      <c r="J49">
        <v>108.27</v>
      </c>
      <c r="K49">
        <v>105.34</v>
      </c>
    </row>
    <row r="50" spans="1:11" x14ac:dyDescent="0.25">
      <c r="A50" s="46" t="s">
        <v>241</v>
      </c>
      <c r="B50" s="47">
        <v>71800.210000000006</v>
      </c>
      <c r="C50" s="47">
        <v>82162.12</v>
      </c>
      <c r="D50" s="47">
        <v>74105.16</v>
      </c>
      <c r="E50" s="48">
        <v>78375.960000000006</v>
      </c>
      <c r="F50" s="45">
        <f t="shared" si="6"/>
        <v>76610.862500000003</v>
      </c>
      <c r="G50" s="53">
        <f t="shared" si="2"/>
        <v>83</v>
      </c>
      <c r="H50" t="str">
        <f t="shared" ca="1" si="4"/>
        <v>April 01, 2014</v>
      </c>
      <c r="I50" s="14">
        <f t="shared" ca="1" si="5"/>
        <v>76610.862500000003</v>
      </c>
      <c r="J50">
        <v>105.83</v>
      </c>
      <c r="K50">
        <v>99.69</v>
      </c>
    </row>
    <row r="51" spans="1:11" x14ac:dyDescent="0.25">
      <c r="A51" s="46" t="s">
        <v>242</v>
      </c>
      <c r="B51" s="47">
        <v>74825.55</v>
      </c>
      <c r="C51" s="47">
        <v>85251.88</v>
      </c>
      <c r="D51" s="47">
        <v>77322.600000000006</v>
      </c>
      <c r="E51" s="48">
        <v>81451.42</v>
      </c>
      <c r="F51" s="45">
        <f t="shared" ref="F51:F62" si="7">AVERAGE(B51:E51)</f>
        <v>79712.862500000003</v>
      </c>
      <c r="G51" s="53">
        <f t="shared" si="2"/>
        <v>82</v>
      </c>
      <c r="H51" t="str">
        <f t="shared" ca="1" si="4"/>
        <v>May 01, 2014</v>
      </c>
      <c r="I51" s="14">
        <f t="shared" ca="1" si="5"/>
        <v>75796.827499999999</v>
      </c>
      <c r="J51">
        <v>108.19</v>
      </c>
      <c r="K51">
        <v>99.69</v>
      </c>
    </row>
    <row r="52" spans="1:11" x14ac:dyDescent="0.25">
      <c r="A52" s="46" t="s">
        <v>243</v>
      </c>
      <c r="B52" s="47">
        <v>74072.2</v>
      </c>
      <c r="C52" s="47">
        <v>84358.9</v>
      </c>
      <c r="D52" s="47">
        <v>76524.33</v>
      </c>
      <c r="E52" s="48">
        <v>80557.789999999994</v>
      </c>
      <c r="F52" s="45">
        <f t="shared" si="7"/>
        <v>78878.304999999993</v>
      </c>
      <c r="G52" s="53">
        <f t="shared" si="2"/>
        <v>81</v>
      </c>
      <c r="H52" t="str">
        <f t="shared" ca="1" si="4"/>
        <v>June 01, 2014</v>
      </c>
      <c r="I52" s="14">
        <f t="shared" ca="1" si="5"/>
        <v>74401.777499999997</v>
      </c>
      <c r="J52">
        <v>109.21</v>
      </c>
      <c r="K52">
        <v>103.07</v>
      </c>
    </row>
    <row r="53" spans="1:11" x14ac:dyDescent="0.25">
      <c r="A53" s="46" t="s">
        <v>244</v>
      </c>
      <c r="B53" s="47">
        <v>76241.33</v>
      </c>
      <c r="C53" s="47">
        <v>86559.23</v>
      </c>
      <c r="D53" s="47">
        <v>78783.839999999997</v>
      </c>
      <c r="E53" s="48">
        <v>82853.73</v>
      </c>
      <c r="F53" s="45">
        <f t="shared" si="7"/>
        <v>81109.532500000001</v>
      </c>
      <c r="G53" s="53">
        <f t="shared" si="2"/>
        <v>80</v>
      </c>
      <c r="H53" t="str">
        <f t="shared" ref="H53:H69" ca="1" si="8">INDIRECT("A"&amp;G87)</f>
        <v>July 01, 2014</v>
      </c>
      <c r="I53" s="14">
        <f t="shared" ref="I53:I69" ca="1" si="9">INDIRECT("F"&amp;G87)</f>
        <v>74794.070000000007</v>
      </c>
      <c r="J53">
        <v>107.65</v>
      </c>
      <c r="K53">
        <v>106.06</v>
      </c>
    </row>
    <row r="54" spans="1:11" x14ac:dyDescent="0.25">
      <c r="A54" s="46" t="s">
        <v>245</v>
      </c>
      <c r="B54" s="47">
        <v>74204.740000000005</v>
      </c>
      <c r="C54" s="47">
        <v>84516.61</v>
      </c>
      <c r="D54" s="47">
        <v>76658.27</v>
      </c>
      <c r="E54" s="48">
        <v>80748.12</v>
      </c>
      <c r="F54" s="45">
        <f t="shared" si="7"/>
        <v>79031.934999999998</v>
      </c>
      <c r="G54" s="53">
        <f t="shared" si="2"/>
        <v>79</v>
      </c>
      <c r="H54" t="str">
        <f t="shared" ca="1" si="8"/>
        <v>August 01, 2014</v>
      </c>
      <c r="I54" s="14">
        <f t="shared" ca="1" si="9"/>
        <v>74690.464999999997</v>
      </c>
      <c r="J54">
        <v>104.02</v>
      </c>
      <c r="K54">
        <v>97.86</v>
      </c>
    </row>
    <row r="55" spans="1:11" x14ac:dyDescent="0.25">
      <c r="A55" s="46" t="s">
        <v>246</v>
      </c>
      <c r="B55" s="47">
        <v>73607.259999999995</v>
      </c>
      <c r="C55" s="47">
        <v>83934.82</v>
      </c>
      <c r="D55" s="47">
        <v>76035.89</v>
      </c>
      <c r="E55" s="48">
        <v>80133.75</v>
      </c>
      <c r="F55" s="45">
        <f t="shared" si="7"/>
        <v>78427.930000000008</v>
      </c>
      <c r="G55" s="53">
        <f t="shared" si="2"/>
        <v>78</v>
      </c>
      <c r="H55" t="str">
        <f t="shared" ca="1" si="8"/>
        <v>September 01, 2014</v>
      </c>
      <c r="I55" s="14">
        <f t="shared" ca="1" si="9"/>
        <v>74248.494999999995</v>
      </c>
      <c r="J55">
        <v>99.53</v>
      </c>
      <c r="K55">
        <v>92.92</v>
      </c>
    </row>
    <row r="56" spans="1:11" x14ac:dyDescent="0.25">
      <c r="A56" s="46" t="s">
        <v>247</v>
      </c>
      <c r="B56" s="47">
        <v>77089.42</v>
      </c>
      <c r="C56" s="47">
        <v>87579.93</v>
      </c>
      <c r="D56" s="47">
        <v>79716.05</v>
      </c>
      <c r="E56" s="48">
        <v>83908.75</v>
      </c>
      <c r="F56" s="45">
        <f t="shared" si="7"/>
        <v>82073.537499999991</v>
      </c>
      <c r="G56" s="53">
        <f t="shared" si="2"/>
        <v>77</v>
      </c>
      <c r="H56" t="str">
        <f t="shared" ca="1" si="8"/>
        <v>October 01, 2014</v>
      </c>
      <c r="I56" s="14">
        <f t="shared" ca="1" si="9"/>
        <v>72071.149999999994</v>
      </c>
      <c r="J56">
        <v>90.9</v>
      </c>
      <c r="K56">
        <v>90.74</v>
      </c>
    </row>
    <row r="57" spans="1:11" x14ac:dyDescent="0.25">
      <c r="A57" s="46" t="s">
        <v>248</v>
      </c>
      <c r="B57" s="47">
        <v>75031.09</v>
      </c>
      <c r="C57" s="47">
        <v>85645.14</v>
      </c>
      <c r="D57" s="47">
        <v>77632.429999999993</v>
      </c>
      <c r="E57" s="48">
        <v>81740.3</v>
      </c>
      <c r="F57" s="45">
        <f t="shared" si="7"/>
        <v>80012.239999999991</v>
      </c>
      <c r="G57" s="53">
        <f t="shared" si="2"/>
        <v>76</v>
      </c>
      <c r="H57" t="str">
        <f t="shared" ca="1" si="8"/>
        <v>November 01, 2014</v>
      </c>
      <c r="I57" s="14">
        <f t="shared" ca="1" si="9"/>
        <v>66899.797500000001</v>
      </c>
      <c r="J57">
        <v>83.2</v>
      </c>
      <c r="K57">
        <v>78.77</v>
      </c>
    </row>
    <row r="58" spans="1:11" x14ac:dyDescent="0.25">
      <c r="A58" s="46" t="s">
        <v>249</v>
      </c>
      <c r="B58" s="47">
        <v>70203.149999999994</v>
      </c>
      <c r="C58" s="47">
        <v>80317.03</v>
      </c>
      <c r="D58" s="47">
        <v>72477.5</v>
      </c>
      <c r="E58" s="48">
        <v>76312.899999999994</v>
      </c>
      <c r="F58" s="45">
        <f t="shared" si="7"/>
        <v>74827.64499999999</v>
      </c>
      <c r="G58" s="53">
        <f t="shared" si="2"/>
        <v>75</v>
      </c>
      <c r="H58" t="str">
        <f t="shared" ca="1" si="8"/>
        <v>December 01, 2014</v>
      </c>
      <c r="I58" s="14">
        <f t="shared" ca="1" si="9"/>
        <v>64145</v>
      </c>
      <c r="J58">
        <v>68</v>
      </c>
      <c r="K58">
        <v>68.98</v>
      </c>
    </row>
    <row r="59" spans="1:11" x14ac:dyDescent="0.25">
      <c r="A59" s="46" t="s">
        <v>250</v>
      </c>
      <c r="B59" s="47">
        <v>66033.75</v>
      </c>
      <c r="C59" s="47">
        <v>75993.929999999993</v>
      </c>
      <c r="D59" s="47">
        <v>68147.899999999994</v>
      </c>
      <c r="E59" s="48">
        <v>71851.42</v>
      </c>
      <c r="F59" s="45">
        <f t="shared" si="7"/>
        <v>70506.75</v>
      </c>
      <c r="G59" s="53">
        <f t="shared" si="2"/>
        <v>74</v>
      </c>
      <c r="H59" t="str">
        <f t="shared" ca="1" si="8"/>
        <v>January 01, 2015</v>
      </c>
      <c r="I59" s="14">
        <f t="shared" ca="1" si="9"/>
        <v>56316.75</v>
      </c>
      <c r="J59">
        <v>49.43</v>
      </c>
      <c r="K59">
        <v>53.45</v>
      </c>
    </row>
    <row r="60" spans="1:11" x14ac:dyDescent="0.25">
      <c r="A60" s="46" t="s">
        <v>251</v>
      </c>
      <c r="B60" s="47">
        <v>62416.160000000003</v>
      </c>
      <c r="C60" s="47">
        <v>72256.95</v>
      </c>
      <c r="D60" s="47">
        <v>64381.15</v>
      </c>
      <c r="E60" s="48">
        <v>67926.429999999993</v>
      </c>
      <c r="F60" s="45">
        <f t="shared" si="7"/>
        <v>66745.172499999986</v>
      </c>
      <c r="G60" s="53">
        <f t="shared" si="2"/>
        <v>73</v>
      </c>
      <c r="H60" t="str">
        <f t="shared" ca="1" si="8"/>
        <v>February 01, 2015</v>
      </c>
      <c r="I60" s="14">
        <f t="shared" ca="1" si="9"/>
        <v>50207.86</v>
      </c>
      <c r="J60">
        <v>57</v>
      </c>
      <c r="K60">
        <v>49.25</v>
      </c>
    </row>
    <row r="61" spans="1:11" x14ac:dyDescent="0.25">
      <c r="A61" s="46" t="s">
        <v>252</v>
      </c>
      <c r="B61" s="47">
        <v>62649.95</v>
      </c>
      <c r="C61" s="47">
        <v>72514.02</v>
      </c>
      <c r="D61" s="47">
        <v>64624.69</v>
      </c>
      <c r="E61" s="48">
        <v>68191.73</v>
      </c>
      <c r="F61" s="45">
        <f t="shared" si="7"/>
        <v>66995.097500000003</v>
      </c>
      <c r="G61" s="53">
        <f t="shared" si="2"/>
        <v>72</v>
      </c>
      <c r="H61" t="str">
        <f t="shared" ca="1" si="8"/>
        <v>March 01, 2015</v>
      </c>
      <c r="I61" s="14">
        <f t="shared" ca="1" si="9"/>
        <v>54223</v>
      </c>
      <c r="J61">
        <v>59.15</v>
      </c>
      <c r="K61">
        <v>49.59</v>
      </c>
    </row>
    <row r="62" spans="1:11" x14ac:dyDescent="0.25">
      <c r="A62" s="46" t="s">
        <v>253</v>
      </c>
      <c r="B62" s="47">
        <v>66195.89</v>
      </c>
      <c r="C62" s="47">
        <v>76171.899999999994</v>
      </c>
      <c r="D62" s="47">
        <v>68331.91</v>
      </c>
      <c r="E62" s="48">
        <v>71986.320000000007</v>
      </c>
      <c r="F62" s="45">
        <f t="shared" si="7"/>
        <v>70671.505000000005</v>
      </c>
      <c r="G62" s="53">
        <f t="shared" si="2"/>
        <v>71</v>
      </c>
      <c r="H62" t="str">
        <f t="shared" ca="1" si="8"/>
        <v>April 01, 2015</v>
      </c>
      <c r="I62" s="14">
        <f t="shared" ca="1" si="9"/>
        <v>53280.5</v>
      </c>
      <c r="J62">
        <v>57.55</v>
      </c>
      <c r="K62">
        <v>50.12</v>
      </c>
    </row>
    <row r="63" spans="1:11" x14ac:dyDescent="0.25">
      <c r="A63" s="24" t="s">
        <v>254</v>
      </c>
      <c r="B63" s="45">
        <v>70080.87</v>
      </c>
      <c r="C63" s="45">
        <v>79238.070000000007</v>
      </c>
      <c r="D63" s="45">
        <v>72451.8</v>
      </c>
      <c r="E63" s="45">
        <v>76239.45</v>
      </c>
      <c r="F63" s="45">
        <f t="shared" ref="F63:F81" si="10">AVERAGE(B63:E63)</f>
        <v>74502.547500000001</v>
      </c>
      <c r="G63" s="53">
        <f t="shared" si="2"/>
        <v>70</v>
      </c>
      <c r="H63" t="str">
        <f t="shared" ca="1" si="8"/>
        <v>May 01, 2015</v>
      </c>
      <c r="I63" s="14">
        <f t="shared" ca="1" si="9"/>
        <v>53589.182500000003</v>
      </c>
      <c r="J63">
        <v>64.930000000000007</v>
      </c>
      <c r="K63">
        <v>59.1</v>
      </c>
    </row>
    <row r="64" spans="1:11" x14ac:dyDescent="0.25">
      <c r="A64" s="24" t="s">
        <v>255</v>
      </c>
      <c r="B64" s="45">
        <v>67561.039999999994</v>
      </c>
      <c r="C64" s="45">
        <v>76586.2</v>
      </c>
      <c r="D64" s="45">
        <v>69826.98</v>
      </c>
      <c r="E64" s="45">
        <v>73516.67</v>
      </c>
      <c r="F64" s="45">
        <f t="shared" si="10"/>
        <v>71872.722499999989</v>
      </c>
      <c r="G64" s="53">
        <f t="shared" si="2"/>
        <v>69</v>
      </c>
      <c r="H64" t="str">
        <f t="shared" ca="1" si="8"/>
        <v>June 01, 2015</v>
      </c>
      <c r="I64" s="14">
        <f t="shared" ca="1" si="9"/>
        <v>57433.275000000001</v>
      </c>
      <c r="J64">
        <v>60.36</v>
      </c>
      <c r="K64">
        <v>60.24</v>
      </c>
    </row>
    <row r="65" spans="1:11" x14ac:dyDescent="0.25">
      <c r="A65" s="24" t="s">
        <v>256</v>
      </c>
      <c r="B65" s="45">
        <v>66236.2</v>
      </c>
      <c r="C65" s="45">
        <v>75154.009999999995</v>
      </c>
      <c r="D65" s="45">
        <v>68446.91</v>
      </c>
      <c r="E65" s="45">
        <v>72057.08</v>
      </c>
      <c r="F65" s="45">
        <f t="shared" si="10"/>
        <v>70473.55</v>
      </c>
      <c r="G65" s="53">
        <f t="shared" si="2"/>
        <v>68</v>
      </c>
      <c r="H65" t="str">
        <f t="shared" ca="1" si="8"/>
        <v>July 01, 2015</v>
      </c>
      <c r="I65" s="14">
        <f t="shared" ca="1" si="9"/>
        <v>55291.01</v>
      </c>
      <c r="J65">
        <v>54.72</v>
      </c>
      <c r="K65">
        <v>56.94</v>
      </c>
    </row>
    <row r="66" spans="1:11" x14ac:dyDescent="0.25">
      <c r="A66" s="24" t="s">
        <v>257</v>
      </c>
      <c r="B66" s="45">
        <v>67709.119999999995</v>
      </c>
      <c r="C66" s="45">
        <v>75166.19</v>
      </c>
      <c r="D66" s="45">
        <v>68392.800000000003</v>
      </c>
      <c r="E66" s="45">
        <v>71775.03</v>
      </c>
      <c r="F66" s="45">
        <f t="shared" si="10"/>
        <v>70760.785000000003</v>
      </c>
      <c r="G66" s="53">
        <f t="shared" si="2"/>
        <v>67</v>
      </c>
      <c r="H66" t="str">
        <f t="shared" ca="1" si="8"/>
        <v>August 01, 2015</v>
      </c>
      <c r="I66" s="14">
        <f t="shared" ca="1" si="9"/>
        <v>50204.425000000003</v>
      </c>
      <c r="J66">
        <v>47.54</v>
      </c>
      <c r="K66">
        <v>45.25</v>
      </c>
    </row>
    <row r="67" spans="1:11" x14ac:dyDescent="0.25">
      <c r="A67" s="24" t="s">
        <v>258</v>
      </c>
      <c r="B67" s="45">
        <v>68397.52</v>
      </c>
      <c r="C67" s="45">
        <v>75842.69</v>
      </c>
      <c r="D67" s="45">
        <v>69096.36</v>
      </c>
      <c r="E67" s="45">
        <v>72487.149999999994</v>
      </c>
      <c r="F67" s="45">
        <f t="shared" si="10"/>
        <v>71455.929999999993</v>
      </c>
      <c r="G67" s="53">
        <f t="shared" si="2"/>
        <v>66</v>
      </c>
      <c r="H67" t="str">
        <f t="shared" ca="1" si="8"/>
        <v>September 01, 2015</v>
      </c>
      <c r="I67" s="14">
        <f t="shared" ca="1" si="9"/>
        <v>44388.057500000003</v>
      </c>
      <c r="J67">
        <v>46.42</v>
      </c>
      <c r="K67">
        <v>45.38</v>
      </c>
    </row>
    <row r="68" spans="1:11" x14ac:dyDescent="0.25">
      <c r="A68" s="24" t="s">
        <v>259</v>
      </c>
      <c r="B68" s="45">
        <v>68398.789999999994</v>
      </c>
      <c r="C68" s="45">
        <v>75490.91</v>
      </c>
      <c r="D68" s="45">
        <v>68731.05</v>
      </c>
      <c r="E68" s="45">
        <v>72119.539999999994</v>
      </c>
      <c r="F68" s="45">
        <f t="shared" si="10"/>
        <v>71185.072499999995</v>
      </c>
      <c r="G68" s="53">
        <f t="shared" ref="G68:G131" si="11">G67-1</f>
        <v>65</v>
      </c>
      <c r="H68" t="str">
        <f t="shared" ca="1" si="8"/>
        <v>October 01, 2015</v>
      </c>
      <c r="I68" s="14">
        <f t="shared" ca="1" si="9"/>
        <v>46716.474999999999</v>
      </c>
      <c r="J68">
        <v>51.66</v>
      </c>
      <c r="K68">
        <v>44.75</v>
      </c>
    </row>
    <row r="69" spans="1:11" x14ac:dyDescent="0.25">
      <c r="A69" s="24" t="s">
        <v>260</v>
      </c>
      <c r="B69" s="45">
        <v>70515.97</v>
      </c>
      <c r="C69" s="45">
        <v>77736.89</v>
      </c>
      <c r="D69" s="45">
        <v>70949.97</v>
      </c>
      <c r="E69" s="45">
        <v>74423.429999999993</v>
      </c>
      <c r="F69" s="45">
        <f t="shared" si="10"/>
        <v>73406.565000000002</v>
      </c>
      <c r="G69" s="53">
        <f t="shared" si="11"/>
        <v>64</v>
      </c>
      <c r="H69" t="str">
        <f t="shared" ca="1" si="8"/>
        <v>November 01, 2015</v>
      </c>
      <c r="I69" s="14">
        <f t="shared" ca="1" si="9"/>
        <v>46493.61</v>
      </c>
      <c r="J69">
        <v>46.09</v>
      </c>
      <c r="K69">
        <v>46.12</v>
      </c>
    </row>
    <row r="70" spans="1:11" x14ac:dyDescent="0.25">
      <c r="A70" s="24" t="s">
        <v>261</v>
      </c>
      <c r="B70" s="45">
        <v>73710.69</v>
      </c>
      <c r="C70" s="45">
        <v>81119.39</v>
      </c>
      <c r="D70" s="45">
        <v>74332.47</v>
      </c>
      <c r="E70" s="45">
        <v>77914.17</v>
      </c>
      <c r="F70" s="45">
        <f t="shared" si="10"/>
        <v>76769.180000000008</v>
      </c>
      <c r="G70" s="53">
        <f t="shared" si="11"/>
        <v>63</v>
      </c>
      <c r="H70" t="str">
        <f ca="1">INDIRECT("A"&amp;G105)</f>
        <v>December 01, 2015</v>
      </c>
      <c r="I70" s="14">
        <f ca="1">INDIRECT("F"&amp;G105)</f>
        <v>46406.119999999995</v>
      </c>
      <c r="J70">
        <v>39.69</v>
      </c>
      <c r="K70">
        <v>40.58</v>
      </c>
    </row>
    <row r="71" spans="1:11" x14ac:dyDescent="0.25">
      <c r="A71" s="24" t="s">
        <v>262</v>
      </c>
      <c r="B71" s="45">
        <v>72281.919999999998</v>
      </c>
      <c r="C71" s="45">
        <v>79590.5</v>
      </c>
      <c r="D71" s="45">
        <v>72830.64</v>
      </c>
      <c r="E71" s="45">
        <v>76350.31</v>
      </c>
      <c r="F71" s="45">
        <f t="shared" si="10"/>
        <v>75263.342499999999</v>
      </c>
      <c r="G71" s="53">
        <f t="shared" si="11"/>
        <v>62</v>
      </c>
      <c r="H71" t="str">
        <f ca="1">INDIRECT("A"&amp;G106)</f>
        <v>January 01, 2016</v>
      </c>
      <c r="I71" s="14">
        <f ca="1">INDIRECT("F"&amp;G106)</f>
        <v>41922.229999999996</v>
      </c>
      <c r="J71">
        <v>33.57</v>
      </c>
      <c r="K71">
        <v>37.130000000000003</v>
      </c>
    </row>
    <row r="72" spans="1:11" x14ac:dyDescent="0.25">
      <c r="A72" s="24" t="s">
        <v>263</v>
      </c>
      <c r="B72" s="45">
        <v>67135.759999999995</v>
      </c>
      <c r="C72" s="45">
        <v>75566.679999999993</v>
      </c>
      <c r="D72" s="45">
        <v>68103.259999999995</v>
      </c>
      <c r="E72" s="45">
        <v>72256.37</v>
      </c>
      <c r="F72" s="45">
        <f t="shared" si="10"/>
        <v>70765.517500000002</v>
      </c>
      <c r="G72" s="53">
        <f t="shared" si="11"/>
        <v>61</v>
      </c>
      <c r="H72" t="str">
        <f ca="1">INDIRECT("A"&amp;G107)</f>
        <v>February 01,2016</v>
      </c>
      <c r="I72" s="14">
        <f ca="1">INDIRECT("F"&amp;G107)</f>
        <v>37121.792499999996</v>
      </c>
      <c r="J72">
        <v>32.76</v>
      </c>
      <c r="K72">
        <v>31.62</v>
      </c>
    </row>
    <row r="73" spans="1:11" x14ac:dyDescent="0.25">
      <c r="A73" s="24" t="s">
        <v>264</v>
      </c>
      <c r="B73" s="45">
        <v>65005.59</v>
      </c>
      <c r="C73" s="45">
        <v>73374.820000000007</v>
      </c>
      <c r="D73" s="45">
        <v>65884.34</v>
      </c>
      <c r="E73" s="45">
        <v>69980.41</v>
      </c>
      <c r="F73" s="45">
        <f t="shared" si="10"/>
        <v>68561.290000000008</v>
      </c>
      <c r="G73" s="53">
        <f t="shared" si="11"/>
        <v>60</v>
      </c>
      <c r="H73" t="str">
        <f ca="1">INDIRECT("A"&amp;G108)</f>
        <v>March 01,2016</v>
      </c>
      <c r="I73" s="14">
        <f ca="1">INDIRECT("F"&amp;G108)</f>
        <v>41439.264999999999</v>
      </c>
      <c r="J73">
        <v>37.61</v>
      </c>
      <c r="K73">
        <v>34.39</v>
      </c>
    </row>
    <row r="74" spans="1:11" x14ac:dyDescent="0.25">
      <c r="A74" s="24" t="s">
        <v>157</v>
      </c>
      <c r="B74" s="45">
        <v>62208.18</v>
      </c>
      <c r="C74" s="45">
        <v>70506.460000000006</v>
      </c>
      <c r="D74" s="45">
        <v>63002.45</v>
      </c>
      <c r="E74" s="45">
        <v>67020.259999999995</v>
      </c>
      <c r="F74" s="45">
        <f t="shared" si="10"/>
        <v>65684.337500000009</v>
      </c>
      <c r="G74" s="53">
        <f t="shared" si="11"/>
        <v>59</v>
      </c>
      <c r="H74" t="str">
        <f ca="1">INDIRECT("A"&amp;G110)</f>
        <v>April 01,2016</v>
      </c>
      <c r="I74" s="14">
        <f ca="1">INDIRECT("F"&amp;G110)</f>
        <v>43960.289999999994</v>
      </c>
      <c r="J74">
        <v>37.770000000000003</v>
      </c>
      <c r="K74">
        <v>35.36</v>
      </c>
    </row>
    <row r="75" spans="1:11" x14ac:dyDescent="0.25">
      <c r="A75" s="24" t="s">
        <v>158</v>
      </c>
      <c r="B75" s="45">
        <v>61169.08</v>
      </c>
      <c r="C75" s="45">
        <v>69532.3</v>
      </c>
      <c r="D75" s="45">
        <v>61933.58</v>
      </c>
      <c r="E75" s="45">
        <v>65973.039999999994</v>
      </c>
      <c r="F75" s="45">
        <f t="shared" si="10"/>
        <v>64652</v>
      </c>
      <c r="G75" s="53">
        <f t="shared" si="11"/>
        <v>58</v>
      </c>
      <c r="H75" t="str">
        <f t="shared" ref="H75:H93" ca="1" si="12">INDIRECT("A"&amp;G112)</f>
        <v>May 01,2016</v>
      </c>
      <c r="I75" s="14">
        <f t="shared" ref="I75:I93" ca="1" si="13">INDIRECT("F"&amp;G112)</f>
        <v>44362.042500000003</v>
      </c>
      <c r="J75">
        <v>44.39</v>
      </c>
      <c r="K75">
        <v>44.75</v>
      </c>
    </row>
    <row r="76" spans="1:11" x14ac:dyDescent="0.25">
      <c r="A76" s="24" t="s">
        <v>159</v>
      </c>
      <c r="B76" s="45">
        <v>62409.95</v>
      </c>
      <c r="C76" s="45">
        <v>70777.06</v>
      </c>
      <c r="D76" s="45">
        <v>63178.34</v>
      </c>
      <c r="E76" s="45">
        <v>67257.63</v>
      </c>
      <c r="F76" s="45">
        <f t="shared" si="10"/>
        <v>65905.744999999995</v>
      </c>
      <c r="G76" s="53">
        <f t="shared" si="11"/>
        <v>57</v>
      </c>
      <c r="H76" t="str">
        <f t="shared" ca="1" si="12"/>
        <v>June 01,2016</v>
      </c>
      <c r="I76" s="14">
        <f t="shared" ca="1" si="13"/>
        <v>48331.797500000008</v>
      </c>
      <c r="J76">
        <v>48.94</v>
      </c>
      <c r="K76">
        <v>49.07</v>
      </c>
    </row>
    <row r="77" spans="1:11" x14ac:dyDescent="0.25">
      <c r="A77" s="24" t="s">
        <v>160</v>
      </c>
      <c r="B77" s="45">
        <v>65670.14</v>
      </c>
      <c r="C77" s="45">
        <v>74213.679999999993</v>
      </c>
      <c r="D77" s="45">
        <v>66587.899999999994</v>
      </c>
      <c r="E77" s="45">
        <v>70790.259999999995</v>
      </c>
      <c r="F77" s="45">
        <f t="shared" si="10"/>
        <v>69315.494999999995</v>
      </c>
      <c r="G77" s="53">
        <f t="shared" si="11"/>
        <v>56</v>
      </c>
      <c r="H77" t="str">
        <f t="shared" ca="1" si="12"/>
        <v>July 01,2016</v>
      </c>
      <c r="I77" s="14">
        <f t="shared" ca="1" si="13"/>
        <v>50958.697500000002</v>
      </c>
      <c r="J77">
        <v>45.7</v>
      </c>
      <c r="K77">
        <v>49.02</v>
      </c>
    </row>
    <row r="78" spans="1:11" x14ac:dyDescent="0.25">
      <c r="A78" s="24" t="s">
        <v>161</v>
      </c>
      <c r="B78" s="45">
        <v>67046.95</v>
      </c>
      <c r="C78" s="45">
        <v>75634.33</v>
      </c>
      <c r="D78" s="45">
        <v>68022.080000000002</v>
      </c>
      <c r="E78" s="45">
        <v>72270.34</v>
      </c>
      <c r="F78" s="45">
        <f t="shared" si="10"/>
        <v>70743.424999999988</v>
      </c>
      <c r="G78" s="53">
        <f t="shared" si="11"/>
        <v>55</v>
      </c>
      <c r="H78" t="str">
        <f t="shared" ca="1" si="12"/>
        <v>August 01,2016</v>
      </c>
      <c r="I78" s="14">
        <f t="shared" ca="1" si="13"/>
        <v>48882.4375</v>
      </c>
      <c r="J78">
        <v>40.450000000000003</v>
      </c>
      <c r="K78">
        <v>40.049999999999997</v>
      </c>
    </row>
    <row r="79" spans="1:11" x14ac:dyDescent="0.25">
      <c r="A79" s="24" t="s">
        <v>162</v>
      </c>
      <c r="B79" s="45">
        <v>67319.710000000006</v>
      </c>
      <c r="C79" s="45">
        <v>75909.53</v>
      </c>
      <c r="D79" s="45">
        <v>68306.210000000006</v>
      </c>
      <c r="E79" s="45">
        <v>72577.5</v>
      </c>
      <c r="F79" s="45">
        <f t="shared" si="10"/>
        <v>71028.237500000003</v>
      </c>
      <c r="G79" s="53">
        <f t="shared" si="11"/>
        <v>54</v>
      </c>
      <c r="H79" t="str">
        <f t="shared" ca="1" si="12"/>
        <v>September 01,2016</v>
      </c>
      <c r="I79" s="14">
        <f t="shared" ca="1" si="13"/>
        <v>47050.97</v>
      </c>
      <c r="J79">
        <v>46.72</v>
      </c>
      <c r="K79">
        <v>43.17</v>
      </c>
    </row>
    <row r="80" spans="1:11" x14ac:dyDescent="0.25">
      <c r="A80" s="24" t="s">
        <v>163</v>
      </c>
      <c r="B80" s="45">
        <v>67631.45</v>
      </c>
      <c r="C80" s="45">
        <v>76220.72</v>
      </c>
      <c r="D80" s="45">
        <v>68630.929999999993</v>
      </c>
      <c r="E80" s="45">
        <v>72912.62</v>
      </c>
      <c r="F80" s="45">
        <f t="shared" si="10"/>
        <v>71348.929999999993</v>
      </c>
      <c r="G80" s="53">
        <f t="shared" si="11"/>
        <v>53</v>
      </c>
      <c r="H80" t="str">
        <f t="shared" ca="1" si="12"/>
        <v>October 01,2016</v>
      </c>
      <c r="I80" s="14">
        <f t="shared" ca="1" si="13"/>
        <v>48442.307499999995</v>
      </c>
      <c r="J80">
        <v>49.57</v>
      </c>
      <c r="K80">
        <v>48.8</v>
      </c>
    </row>
    <row r="81" spans="1:11" x14ac:dyDescent="0.25">
      <c r="A81" s="24" t="s">
        <v>164</v>
      </c>
      <c r="B81" s="45">
        <v>67800.3</v>
      </c>
      <c r="C81" s="45">
        <v>76383.08</v>
      </c>
      <c r="D81" s="45">
        <v>68806.820000000007</v>
      </c>
      <c r="E81" s="45">
        <v>73066.210000000006</v>
      </c>
      <c r="F81" s="45">
        <f t="shared" si="10"/>
        <v>71514.102500000008</v>
      </c>
      <c r="G81" s="53">
        <f t="shared" si="11"/>
        <v>52</v>
      </c>
      <c r="H81" t="str">
        <f t="shared" ca="1" si="12"/>
        <v>November 01,2016</v>
      </c>
      <c r="I81" s="14">
        <f t="shared" ca="1" si="13"/>
        <v>51901.202499999999</v>
      </c>
      <c r="J81">
        <v>43.06</v>
      </c>
      <c r="K81">
        <v>46.66</v>
      </c>
    </row>
    <row r="82" spans="1:11" x14ac:dyDescent="0.25">
      <c r="A82" s="24" t="s">
        <v>165</v>
      </c>
      <c r="B82" s="45">
        <v>65949.34</v>
      </c>
      <c r="C82" s="45">
        <v>74415.95</v>
      </c>
      <c r="D82" s="45">
        <v>66989.740000000005</v>
      </c>
      <c r="E82" s="45">
        <v>71025.41</v>
      </c>
      <c r="F82" s="24">
        <f t="shared" ref="F82:F107" si="14">AVERAGE(B82:E82)</f>
        <v>69595.109999999986</v>
      </c>
      <c r="G82" s="53">
        <f t="shared" si="11"/>
        <v>51</v>
      </c>
      <c r="H82" t="str">
        <f t="shared" ca="1" si="12"/>
        <v>December 01,2016</v>
      </c>
      <c r="I82" s="14">
        <f t="shared" ca="1" si="13"/>
        <v>49998.025000000001</v>
      </c>
      <c r="J82">
        <v>52.31</v>
      </c>
      <c r="K82">
        <v>51.08</v>
      </c>
    </row>
    <row r="83" spans="1:11" x14ac:dyDescent="0.25">
      <c r="A83" s="24" t="s">
        <v>166</v>
      </c>
      <c r="B83" s="45">
        <v>64650.46</v>
      </c>
      <c r="C83" s="45">
        <v>72941.179999999993</v>
      </c>
      <c r="D83" s="45">
        <v>65636.740000000005</v>
      </c>
      <c r="E83" s="45">
        <v>69545.33</v>
      </c>
      <c r="F83" s="24">
        <f t="shared" si="14"/>
        <v>68193.427500000005</v>
      </c>
      <c r="G83" s="53">
        <f t="shared" si="11"/>
        <v>50</v>
      </c>
      <c r="H83" t="str">
        <f t="shared" ca="1" si="12"/>
        <v>January 01, 2017</v>
      </c>
      <c r="I83" s="14">
        <f t="shared" ca="1" si="13"/>
        <v>54213.917499999996</v>
      </c>
      <c r="J83">
        <v>55.9</v>
      </c>
      <c r="K83">
        <v>52.36</v>
      </c>
    </row>
    <row r="84" spans="1:11" x14ac:dyDescent="0.25">
      <c r="A84" s="24" t="s">
        <v>167</v>
      </c>
      <c r="B84" s="45">
        <v>64596.36</v>
      </c>
      <c r="C84" s="45">
        <v>72941.179999999993</v>
      </c>
      <c r="D84" s="45">
        <v>65636.740000000005</v>
      </c>
      <c r="E84" s="45">
        <v>69545.33</v>
      </c>
      <c r="F84" s="24">
        <f t="shared" si="14"/>
        <v>68179.902499999997</v>
      </c>
      <c r="G84" s="53">
        <f t="shared" si="11"/>
        <v>49</v>
      </c>
      <c r="H84" t="str">
        <f t="shared" ca="1" si="12"/>
        <v>February 01,2017</v>
      </c>
      <c r="I84" s="14">
        <f t="shared" ca="1" si="13"/>
        <v>55817.392500000002</v>
      </c>
      <c r="J84">
        <v>55.92</v>
      </c>
      <c r="K84">
        <v>53.9</v>
      </c>
    </row>
    <row r="85" spans="1:11" x14ac:dyDescent="0.25">
      <c r="A85" s="24" t="s">
        <v>168</v>
      </c>
      <c r="B85" s="45">
        <v>62557.120000000003</v>
      </c>
      <c r="C85" s="45">
        <v>70816.98</v>
      </c>
      <c r="D85" s="45">
        <v>63499</v>
      </c>
      <c r="E85" s="45">
        <v>67339.19</v>
      </c>
      <c r="F85" s="24">
        <f t="shared" si="14"/>
        <v>66053.072500000009</v>
      </c>
      <c r="G85" s="53">
        <f t="shared" si="11"/>
        <v>48</v>
      </c>
      <c r="H85" t="str">
        <f t="shared" ca="1" si="12"/>
        <v>March 01,2017</v>
      </c>
      <c r="I85" s="14">
        <f t="shared" ca="1" si="13"/>
        <v>56104.899999999994</v>
      </c>
      <c r="J85">
        <v>54.16</v>
      </c>
      <c r="K85">
        <v>53.82</v>
      </c>
    </row>
    <row r="86" spans="1:11" x14ac:dyDescent="0.25">
      <c r="A86" s="24" t="s">
        <v>169</v>
      </c>
      <c r="B86" s="45">
        <v>62907.82</v>
      </c>
      <c r="C86" s="45">
        <v>71155.22</v>
      </c>
      <c r="D86" s="45">
        <v>63864.31</v>
      </c>
      <c r="E86" s="45">
        <v>67702.210000000006</v>
      </c>
      <c r="F86" s="24">
        <f t="shared" si="14"/>
        <v>66407.39</v>
      </c>
      <c r="G86" s="53">
        <f t="shared" si="11"/>
        <v>47</v>
      </c>
      <c r="H86" t="str">
        <f t="shared" ca="1" si="12"/>
        <v>April 01, 2017</v>
      </c>
      <c r="I86" s="14">
        <f t="shared" ca="1" si="13"/>
        <v>53242.5</v>
      </c>
      <c r="J86">
        <v>53.08</v>
      </c>
      <c r="K86">
        <v>50.25</v>
      </c>
    </row>
    <row r="87" spans="1:11" x14ac:dyDescent="0.25">
      <c r="A87" s="24" t="s">
        <v>170</v>
      </c>
      <c r="B87" s="45">
        <v>64882.11</v>
      </c>
      <c r="C87" s="45">
        <v>73238.84</v>
      </c>
      <c r="D87" s="45">
        <v>65920.87</v>
      </c>
      <c r="E87" s="45">
        <v>69838.559999999998</v>
      </c>
      <c r="F87" s="24">
        <f t="shared" si="14"/>
        <v>68470.095000000001</v>
      </c>
      <c r="G87" s="53">
        <f t="shared" si="11"/>
        <v>46</v>
      </c>
      <c r="H87" t="str">
        <f t="shared" ca="1" si="12"/>
        <v>May 01, 2017</v>
      </c>
      <c r="I87" s="14">
        <f t="shared" ca="1" si="13"/>
        <v>53435.25</v>
      </c>
      <c r="J87">
        <v>49.31</v>
      </c>
      <c r="K87">
        <v>48.83</v>
      </c>
    </row>
    <row r="88" spans="1:11" x14ac:dyDescent="0.25">
      <c r="A88" s="24" t="s">
        <v>171</v>
      </c>
      <c r="B88" s="45">
        <v>63076.67</v>
      </c>
      <c r="C88" s="45">
        <v>71358.17</v>
      </c>
      <c r="D88" s="45">
        <v>64053.73</v>
      </c>
      <c r="E88" s="45">
        <v>67911.66</v>
      </c>
      <c r="F88" s="24">
        <f t="shared" si="14"/>
        <v>66600.057499999995</v>
      </c>
      <c r="G88" s="53">
        <f t="shared" si="11"/>
        <v>45</v>
      </c>
      <c r="H88" t="str">
        <f t="shared" ca="1" si="12"/>
        <v>June 01, 2017</v>
      </c>
      <c r="I88" s="14">
        <f t="shared" ca="1" si="13"/>
        <v>51442.25</v>
      </c>
      <c r="J88">
        <v>50.41</v>
      </c>
      <c r="K88">
        <v>48.32</v>
      </c>
    </row>
    <row r="89" spans="1:11" x14ac:dyDescent="0.25">
      <c r="A89" s="24" t="s">
        <v>153</v>
      </c>
      <c r="B89" s="51">
        <v>63739.1</v>
      </c>
      <c r="C89" s="45">
        <v>72021.14</v>
      </c>
      <c r="D89" s="45">
        <v>64730.23</v>
      </c>
      <c r="E89" s="45">
        <v>68595.850000000006</v>
      </c>
      <c r="F89" s="24">
        <f t="shared" si="14"/>
        <v>67271.58</v>
      </c>
      <c r="G89" s="53">
        <f t="shared" si="11"/>
        <v>44</v>
      </c>
      <c r="H89" t="str">
        <f t="shared" ca="1" si="12"/>
        <v>July 01, 2017</v>
      </c>
      <c r="I89" s="14">
        <f t="shared" ca="1" si="13"/>
        <v>48646.25</v>
      </c>
      <c r="J89">
        <v>49.13</v>
      </c>
      <c r="K89">
        <v>46.02</v>
      </c>
    </row>
    <row r="90" spans="1:11" x14ac:dyDescent="0.25">
      <c r="A90" s="24" t="s">
        <v>154</v>
      </c>
      <c r="B90" s="45">
        <v>64622.34</v>
      </c>
      <c r="C90" s="45">
        <v>72900.59</v>
      </c>
      <c r="D90" s="45">
        <v>65650.27</v>
      </c>
      <c r="E90" s="45">
        <v>69517.399999999994</v>
      </c>
      <c r="F90" s="24">
        <f t="shared" si="14"/>
        <v>68172.649999999994</v>
      </c>
      <c r="G90" s="53">
        <f t="shared" si="11"/>
        <v>43</v>
      </c>
      <c r="H90" t="str">
        <f t="shared" ca="1" si="12"/>
        <v>August 01, 2017</v>
      </c>
      <c r="I90" s="14">
        <f t="shared" ca="1" si="13"/>
        <v>50259.333333333336</v>
      </c>
      <c r="J90">
        <v>51.99</v>
      </c>
      <c r="K90">
        <v>49.19</v>
      </c>
    </row>
    <row r="91" spans="1:11" x14ac:dyDescent="0.25">
      <c r="A91" s="24" t="s">
        <v>155</v>
      </c>
      <c r="B91" s="45">
        <v>62310.33</v>
      </c>
      <c r="C91" s="45">
        <v>70465.19</v>
      </c>
      <c r="D91" s="45">
        <v>63228.4</v>
      </c>
      <c r="E91" s="45">
        <v>67018.039999999994</v>
      </c>
      <c r="F91" s="24">
        <f t="shared" si="14"/>
        <v>65755.490000000005</v>
      </c>
      <c r="G91" s="53">
        <f t="shared" si="11"/>
        <v>42</v>
      </c>
      <c r="H91" t="str">
        <f t="shared" ca="1" si="12"/>
        <v>September 01,2017</v>
      </c>
      <c r="I91" s="14">
        <f t="shared" ca="1" si="13"/>
        <v>51639.75</v>
      </c>
      <c r="J91">
        <v>52.69</v>
      </c>
      <c r="K91">
        <v>47.32</v>
      </c>
    </row>
    <row r="92" spans="1:11" x14ac:dyDescent="0.25">
      <c r="A92" s="24" t="s">
        <v>156</v>
      </c>
      <c r="B92" s="45">
        <v>61115.360000000001</v>
      </c>
      <c r="C92" s="45">
        <v>69157.14</v>
      </c>
      <c r="D92" s="45">
        <v>61983.64</v>
      </c>
      <c r="E92" s="45">
        <v>65705.52</v>
      </c>
      <c r="F92" s="24">
        <f t="shared" si="14"/>
        <v>64490.415000000008</v>
      </c>
      <c r="G92" s="53">
        <f t="shared" si="11"/>
        <v>41</v>
      </c>
      <c r="H92" t="str">
        <f t="shared" ca="1" si="12"/>
        <v>October 01,2017</v>
      </c>
      <c r="I92" s="14">
        <f t="shared" ca="1" si="13"/>
        <v>54617.5</v>
      </c>
      <c r="J92">
        <v>58.8</v>
      </c>
      <c r="K92">
        <v>50.59</v>
      </c>
    </row>
    <row r="93" spans="1:11" x14ac:dyDescent="0.25">
      <c r="A93" s="24" t="s">
        <v>146</v>
      </c>
      <c r="B93" s="45">
        <v>58270.81</v>
      </c>
      <c r="C93" s="45">
        <v>66207.600000000006</v>
      </c>
      <c r="D93" s="45">
        <v>59020.57</v>
      </c>
      <c r="E93" s="45">
        <v>62646.67</v>
      </c>
      <c r="F93" s="24">
        <f t="shared" si="14"/>
        <v>61536.412500000006</v>
      </c>
      <c r="G93" s="53">
        <f t="shared" si="11"/>
        <v>40</v>
      </c>
      <c r="H93" t="str">
        <f t="shared" ca="1" si="12"/>
        <v>November 01,2017</v>
      </c>
      <c r="I93" s="14">
        <f t="shared" ca="1" si="13"/>
        <v>55746.25</v>
      </c>
      <c r="J93">
        <v>60.65</v>
      </c>
      <c r="K93">
        <v>54.32</v>
      </c>
    </row>
    <row r="94" spans="1:11" x14ac:dyDescent="0.25">
      <c r="A94" s="24" t="s">
        <v>147</v>
      </c>
      <c r="B94" s="52">
        <v>58595.53</v>
      </c>
      <c r="C94" s="52">
        <v>66586</v>
      </c>
      <c r="D94" s="52">
        <v>59359</v>
      </c>
      <c r="E94" s="52">
        <v>63024</v>
      </c>
      <c r="F94" s="52">
        <f t="shared" si="14"/>
        <v>61891.1325</v>
      </c>
      <c r="G94" s="53">
        <f t="shared" si="11"/>
        <v>39</v>
      </c>
      <c r="H94" t="str">
        <f t="shared" ref="H94" ca="1" si="15">INDIRECT("A"&amp;G131)</f>
        <v>December 01,2017</v>
      </c>
      <c r="I94" s="14">
        <f t="shared" ref="I94" ca="1" si="16">INDIRECT("F"&amp;G131)</f>
        <v>58985.5</v>
      </c>
      <c r="J94">
        <v>63.56</v>
      </c>
      <c r="K94">
        <v>58.35</v>
      </c>
    </row>
    <row r="95" spans="1:11" x14ac:dyDescent="0.25">
      <c r="A95" s="24" t="s">
        <v>148</v>
      </c>
      <c r="B95" s="52">
        <v>58578</v>
      </c>
      <c r="C95" s="52">
        <v>66586</v>
      </c>
      <c r="D95" s="52">
        <v>59359</v>
      </c>
      <c r="E95" s="52">
        <v>63024</v>
      </c>
      <c r="F95" s="52">
        <f t="shared" si="14"/>
        <v>61886.75</v>
      </c>
      <c r="G95" s="53">
        <f t="shared" si="11"/>
        <v>38</v>
      </c>
      <c r="J95" s="24"/>
      <c r="K95" s="24"/>
    </row>
    <row r="96" spans="1:11" x14ac:dyDescent="0.25">
      <c r="A96" s="24" t="s">
        <v>149</v>
      </c>
      <c r="B96" s="52">
        <v>57688.62</v>
      </c>
      <c r="C96" s="52">
        <v>65666.399999999994</v>
      </c>
      <c r="D96" s="52">
        <v>58452.31</v>
      </c>
      <c r="E96" s="52">
        <v>62074.19</v>
      </c>
      <c r="F96" s="52">
        <f t="shared" si="14"/>
        <v>60970.38</v>
      </c>
      <c r="G96" s="53">
        <f t="shared" si="11"/>
        <v>37</v>
      </c>
      <c r="J96" s="24"/>
      <c r="K96" s="24"/>
    </row>
    <row r="97" spans="1:11" x14ac:dyDescent="0.25">
      <c r="A97" s="24" t="s">
        <v>150</v>
      </c>
      <c r="B97" s="52">
        <v>56260</v>
      </c>
      <c r="C97" s="52">
        <v>64178</v>
      </c>
      <c r="D97" s="52">
        <v>56978</v>
      </c>
      <c r="E97" s="52">
        <v>60552</v>
      </c>
      <c r="F97" s="52">
        <f t="shared" si="14"/>
        <v>59492</v>
      </c>
      <c r="G97" s="53">
        <f t="shared" si="11"/>
        <v>36</v>
      </c>
      <c r="J97" s="24"/>
      <c r="K97" s="24"/>
    </row>
    <row r="98" spans="1:11" x14ac:dyDescent="0.25">
      <c r="A98" s="24" t="s">
        <v>151</v>
      </c>
      <c r="B98" s="52">
        <v>56688</v>
      </c>
      <c r="C98" s="52">
        <v>64625</v>
      </c>
      <c r="D98" s="52">
        <v>57424</v>
      </c>
      <c r="E98" s="52">
        <v>61013</v>
      </c>
      <c r="F98" s="52">
        <f t="shared" si="14"/>
        <v>59937.5</v>
      </c>
      <c r="G98" s="53">
        <f t="shared" si="11"/>
        <v>35</v>
      </c>
      <c r="J98" s="24"/>
      <c r="K98" s="24"/>
    </row>
    <row r="99" spans="1:11" x14ac:dyDescent="0.25">
      <c r="A99" s="24" t="s">
        <v>152</v>
      </c>
      <c r="B99" s="52">
        <v>57844</v>
      </c>
      <c r="C99" s="52">
        <v>65842</v>
      </c>
      <c r="D99" s="52">
        <v>58628</v>
      </c>
      <c r="E99" s="52">
        <v>62256</v>
      </c>
      <c r="F99" s="52">
        <f t="shared" si="14"/>
        <v>61142.5</v>
      </c>
      <c r="G99" s="53">
        <f t="shared" si="11"/>
        <v>34</v>
      </c>
      <c r="J99" s="24"/>
      <c r="K99" s="24"/>
    </row>
    <row r="100" spans="1:11" x14ac:dyDescent="0.25">
      <c r="A100" s="24" t="s">
        <v>172</v>
      </c>
      <c r="B100" s="52">
        <v>56324.79</v>
      </c>
      <c r="C100" s="52">
        <v>64256.87</v>
      </c>
      <c r="D100" s="52">
        <v>57031.66</v>
      </c>
      <c r="E100" s="52">
        <v>60621.03</v>
      </c>
      <c r="F100" s="52">
        <f t="shared" si="14"/>
        <v>59558.587500000001</v>
      </c>
      <c r="G100" s="53">
        <f t="shared" si="11"/>
        <v>33</v>
      </c>
      <c r="J100" s="24"/>
      <c r="K100" s="24"/>
    </row>
    <row r="101" spans="1:11" x14ac:dyDescent="0.25">
      <c r="A101" s="24" t="s">
        <v>133</v>
      </c>
      <c r="B101" s="52">
        <v>56246.86</v>
      </c>
      <c r="C101" s="52">
        <v>64216.28</v>
      </c>
      <c r="D101" s="52">
        <v>56964.01</v>
      </c>
      <c r="E101" s="52">
        <v>60565.18</v>
      </c>
      <c r="F101" s="52">
        <f t="shared" si="14"/>
        <v>59498.082499999997</v>
      </c>
      <c r="G101" s="53">
        <f t="shared" si="11"/>
        <v>32</v>
      </c>
      <c r="J101" s="24"/>
      <c r="K101" s="24"/>
    </row>
    <row r="102" spans="1:11" x14ac:dyDescent="0.25">
      <c r="A102" s="24" t="s">
        <v>134</v>
      </c>
      <c r="B102" s="52">
        <v>57842.92</v>
      </c>
      <c r="C102" s="52">
        <v>65934.59</v>
      </c>
      <c r="D102" s="52">
        <v>58601.14</v>
      </c>
      <c r="E102" s="52">
        <v>62338.48</v>
      </c>
      <c r="F102" s="52">
        <f t="shared" si="14"/>
        <v>61179.282500000001</v>
      </c>
      <c r="G102" s="53">
        <f t="shared" si="11"/>
        <v>31</v>
      </c>
      <c r="J102" s="24"/>
      <c r="K102" s="24"/>
    </row>
    <row r="103" spans="1:11" x14ac:dyDescent="0.25">
      <c r="A103" s="24" t="s">
        <v>135</v>
      </c>
      <c r="B103" s="52">
        <v>56466.11</v>
      </c>
      <c r="C103" s="52">
        <v>64500.41</v>
      </c>
      <c r="D103" s="52">
        <v>57166.96</v>
      </c>
      <c r="E103" s="52">
        <v>60858.41</v>
      </c>
      <c r="F103" s="52">
        <f t="shared" si="14"/>
        <v>59747.972500000003</v>
      </c>
      <c r="G103" s="53">
        <f t="shared" si="11"/>
        <v>30</v>
      </c>
      <c r="J103" s="24"/>
      <c r="K103" s="24"/>
    </row>
    <row r="104" spans="1:11" x14ac:dyDescent="0.25">
      <c r="A104" s="24" t="s">
        <v>136</v>
      </c>
      <c r="B104" s="52">
        <v>58794</v>
      </c>
      <c r="C104" s="52">
        <v>66909</v>
      </c>
      <c r="D104" s="52">
        <v>59602</v>
      </c>
      <c r="E104" s="52">
        <v>63358</v>
      </c>
      <c r="F104" s="52">
        <f t="shared" si="14"/>
        <v>62165.75</v>
      </c>
      <c r="G104" s="53">
        <f t="shared" si="11"/>
        <v>29</v>
      </c>
      <c r="J104" s="24"/>
      <c r="K104" s="24"/>
    </row>
    <row r="105" spans="1:11" x14ac:dyDescent="0.25">
      <c r="A105" s="24" t="s">
        <v>137</v>
      </c>
      <c r="B105" s="52">
        <v>60560</v>
      </c>
      <c r="C105" s="52">
        <v>68681</v>
      </c>
      <c r="D105" s="52">
        <v>61429</v>
      </c>
      <c r="E105" s="52">
        <v>65201</v>
      </c>
      <c r="F105" s="52">
        <f t="shared" si="14"/>
        <v>63967.75</v>
      </c>
      <c r="G105" s="53">
        <f t="shared" si="11"/>
        <v>28</v>
      </c>
      <c r="J105" s="24"/>
      <c r="K105" s="24"/>
    </row>
    <row r="106" spans="1:11" x14ac:dyDescent="0.25">
      <c r="A106" s="24" t="s">
        <v>138</v>
      </c>
      <c r="B106" s="52">
        <v>60404</v>
      </c>
      <c r="C106" s="52">
        <v>68451</v>
      </c>
      <c r="D106" s="52">
        <v>61199</v>
      </c>
      <c r="E106" s="52">
        <v>64964</v>
      </c>
      <c r="F106" s="52">
        <f t="shared" si="14"/>
        <v>63754.5</v>
      </c>
      <c r="G106" s="53">
        <f t="shared" si="11"/>
        <v>27</v>
      </c>
      <c r="J106" s="24"/>
      <c r="K106" s="24"/>
    </row>
    <row r="107" spans="1:11" x14ac:dyDescent="0.25">
      <c r="A107" s="24" t="s">
        <v>139</v>
      </c>
      <c r="B107" s="52">
        <v>59157.32</v>
      </c>
      <c r="C107" s="52">
        <v>67151.98</v>
      </c>
      <c r="D107" s="52">
        <v>59900.02</v>
      </c>
      <c r="E107" s="52">
        <v>63623.07</v>
      </c>
      <c r="F107" s="52">
        <f t="shared" si="14"/>
        <v>62458.097499999996</v>
      </c>
      <c r="G107" s="53">
        <f t="shared" si="11"/>
        <v>26</v>
      </c>
      <c r="J107" s="24"/>
      <c r="K107" s="49"/>
    </row>
    <row r="108" spans="1:11" x14ac:dyDescent="0.25">
      <c r="A108" s="24" t="s">
        <v>140</v>
      </c>
      <c r="B108" s="24">
        <v>58310.45</v>
      </c>
      <c r="C108" s="24">
        <v>66202.179999999993</v>
      </c>
      <c r="D108" s="24">
        <v>59031.39</v>
      </c>
      <c r="E108" s="24">
        <v>62627.5</v>
      </c>
      <c r="F108" s="24">
        <f t="shared" ref="F108:F131" si="17">AVERAGE(B108:E108)</f>
        <v>61542.879999999997</v>
      </c>
      <c r="G108" s="53">
        <f t="shared" si="11"/>
        <v>25</v>
      </c>
      <c r="J108" s="24"/>
      <c r="K108" s="24"/>
    </row>
    <row r="109" spans="1:11" x14ac:dyDescent="0.25">
      <c r="A109" s="24" t="s">
        <v>141</v>
      </c>
      <c r="B109" s="24">
        <v>54933.36</v>
      </c>
      <c r="C109" s="24">
        <v>62654.61</v>
      </c>
      <c r="D109" s="24">
        <v>55500.06</v>
      </c>
      <c r="E109" s="24">
        <v>58997.14</v>
      </c>
      <c r="F109" s="24">
        <f t="shared" si="17"/>
        <v>58021.292499999996</v>
      </c>
      <c r="G109" s="53">
        <f t="shared" si="11"/>
        <v>24</v>
      </c>
      <c r="J109" s="24"/>
      <c r="K109" s="24"/>
    </row>
    <row r="110" spans="1:11" x14ac:dyDescent="0.25">
      <c r="A110" s="24" t="s">
        <v>142</v>
      </c>
      <c r="B110" s="24">
        <v>53063</v>
      </c>
      <c r="C110" s="24">
        <v>60720</v>
      </c>
      <c r="D110" s="24">
        <v>53538</v>
      </c>
      <c r="E110" s="24">
        <v>56986</v>
      </c>
      <c r="F110" s="24">
        <f t="shared" si="17"/>
        <v>56076.75</v>
      </c>
      <c r="G110" s="53">
        <f t="shared" si="11"/>
        <v>23</v>
      </c>
      <c r="J110" s="24"/>
      <c r="K110" s="24"/>
    </row>
    <row r="111" spans="1:11" x14ac:dyDescent="0.25">
      <c r="A111" s="24" t="s">
        <v>143</v>
      </c>
      <c r="B111" s="24">
        <v>50958.79</v>
      </c>
      <c r="C111" s="24">
        <v>58500.9</v>
      </c>
      <c r="D111" s="24">
        <v>51332.82</v>
      </c>
      <c r="E111" s="24">
        <v>54696.55</v>
      </c>
      <c r="F111" s="24">
        <f t="shared" si="17"/>
        <v>53872.264999999999</v>
      </c>
      <c r="G111" s="53">
        <f t="shared" si="11"/>
        <v>22</v>
      </c>
      <c r="J111" s="24"/>
      <c r="K111" s="24"/>
    </row>
    <row r="112" spans="1:11" x14ac:dyDescent="0.25">
      <c r="A112" s="24" t="s">
        <v>144</v>
      </c>
      <c r="B112" s="24">
        <v>48764</v>
      </c>
      <c r="C112" s="24">
        <v>56186</v>
      </c>
      <c r="D112" s="24">
        <v>49046</v>
      </c>
      <c r="E112" s="24">
        <v>52323</v>
      </c>
      <c r="F112" s="24">
        <f t="shared" si="17"/>
        <v>51579.75</v>
      </c>
      <c r="G112" s="53">
        <f t="shared" si="11"/>
        <v>21</v>
      </c>
      <c r="J112" s="24"/>
      <c r="K112" s="24"/>
    </row>
    <row r="113" spans="1:11" x14ac:dyDescent="0.25">
      <c r="A113" s="24" t="s">
        <v>145</v>
      </c>
      <c r="B113" s="24">
        <v>47815.5</v>
      </c>
      <c r="C113" s="24">
        <v>55158.14</v>
      </c>
      <c r="D113" s="24">
        <v>48058.559999999998</v>
      </c>
      <c r="E113" s="24">
        <v>51275.32</v>
      </c>
      <c r="F113" s="24">
        <f t="shared" si="17"/>
        <v>50576.880000000005</v>
      </c>
      <c r="G113" s="53">
        <f t="shared" si="11"/>
        <v>20</v>
      </c>
      <c r="J113" s="24"/>
      <c r="K113" s="24"/>
    </row>
    <row r="114" spans="1:11" x14ac:dyDescent="0.25">
      <c r="A114" s="24" t="s">
        <v>173</v>
      </c>
      <c r="B114" s="24">
        <v>46880.3</v>
      </c>
      <c r="C114" s="24">
        <v>54183.98</v>
      </c>
      <c r="D114" s="24">
        <v>47084.4</v>
      </c>
      <c r="E114" s="24">
        <v>50270</v>
      </c>
      <c r="F114" s="24">
        <f t="shared" si="17"/>
        <v>49604.67</v>
      </c>
      <c r="G114" s="53">
        <f t="shared" si="11"/>
        <v>19</v>
      </c>
      <c r="J114" s="24"/>
      <c r="K114" s="24"/>
    </row>
    <row r="115" spans="1:11" x14ac:dyDescent="0.25">
      <c r="A115" s="24" t="s">
        <v>174</v>
      </c>
      <c r="B115" s="24">
        <v>45240</v>
      </c>
      <c r="C115" s="24">
        <v>52452.14</v>
      </c>
      <c r="D115" s="24">
        <v>45379.62</v>
      </c>
      <c r="E115" s="24">
        <v>48496.7</v>
      </c>
      <c r="F115" s="24">
        <f t="shared" si="17"/>
        <v>47892.115000000005</v>
      </c>
      <c r="G115" s="53">
        <f t="shared" si="11"/>
        <v>18</v>
      </c>
      <c r="J115" s="24"/>
      <c r="K115" s="24"/>
    </row>
    <row r="116" spans="1:11" x14ac:dyDescent="0.25">
      <c r="A116" s="24" t="s">
        <v>175</v>
      </c>
      <c r="B116" s="24">
        <v>44603.54</v>
      </c>
      <c r="C116" s="24">
        <v>51802.7</v>
      </c>
      <c r="D116" s="24">
        <v>44716.65</v>
      </c>
      <c r="E116" s="24">
        <v>47812.51</v>
      </c>
      <c r="F116" s="24">
        <f t="shared" si="17"/>
        <v>47233.85</v>
      </c>
      <c r="G116" s="53">
        <f t="shared" si="11"/>
        <v>17</v>
      </c>
      <c r="J116" s="24"/>
      <c r="K116" s="24"/>
    </row>
    <row r="117" spans="1:11" x14ac:dyDescent="0.25">
      <c r="A117" s="24" t="s">
        <v>176</v>
      </c>
      <c r="B117" s="24">
        <v>42276</v>
      </c>
      <c r="C117" s="24">
        <v>50653</v>
      </c>
      <c r="D117" s="24">
        <v>43553</v>
      </c>
      <c r="E117" s="24">
        <v>46626</v>
      </c>
      <c r="F117" s="24">
        <f t="shared" si="17"/>
        <v>45777</v>
      </c>
      <c r="G117" s="53">
        <f t="shared" si="11"/>
        <v>16</v>
      </c>
      <c r="J117" s="24"/>
      <c r="K117" s="24"/>
    </row>
    <row r="118" spans="1:11" x14ac:dyDescent="0.25">
      <c r="A118" s="24" t="s">
        <v>177</v>
      </c>
      <c r="B118" s="24">
        <v>41936</v>
      </c>
      <c r="C118" s="24">
        <v>50302</v>
      </c>
      <c r="D118" s="24">
        <v>43242</v>
      </c>
      <c r="E118" s="24">
        <v>46296</v>
      </c>
      <c r="F118" s="24">
        <f t="shared" si="17"/>
        <v>45444</v>
      </c>
      <c r="G118" s="53">
        <f t="shared" si="11"/>
        <v>15</v>
      </c>
      <c r="J118" s="24"/>
      <c r="K118" s="24"/>
    </row>
    <row r="119" spans="1:11" x14ac:dyDescent="0.25">
      <c r="A119" s="24" t="s">
        <v>178</v>
      </c>
      <c r="B119" s="24">
        <v>40728.519999999997</v>
      </c>
      <c r="C119" s="24">
        <v>49057.15</v>
      </c>
      <c r="D119" s="24">
        <v>41983.59</v>
      </c>
      <c r="E119" s="24">
        <v>45011.81</v>
      </c>
      <c r="F119" s="24">
        <f t="shared" si="17"/>
        <v>44195.267500000002</v>
      </c>
      <c r="G119" s="53">
        <f t="shared" si="11"/>
        <v>14</v>
      </c>
      <c r="J119" s="24"/>
      <c r="K119" s="24"/>
    </row>
    <row r="120" spans="1:11" x14ac:dyDescent="0.25">
      <c r="A120" s="24" t="s">
        <v>179</v>
      </c>
      <c r="B120" s="24">
        <v>40800.49</v>
      </c>
      <c r="C120" s="24">
        <v>49165.39</v>
      </c>
      <c r="D120" s="24">
        <v>42091.83</v>
      </c>
      <c r="E120" s="24">
        <v>45123.519999999997</v>
      </c>
      <c r="F120" s="24">
        <f t="shared" si="17"/>
        <v>44295.307500000003</v>
      </c>
      <c r="G120" s="53">
        <f t="shared" si="11"/>
        <v>13</v>
      </c>
      <c r="J120" s="24"/>
      <c r="K120" s="24"/>
    </row>
    <row r="121" spans="1:11" x14ac:dyDescent="0.25">
      <c r="A121" s="24" t="s">
        <v>180</v>
      </c>
      <c r="B121" s="24">
        <v>40138.06</v>
      </c>
      <c r="C121" s="24">
        <v>48461.83</v>
      </c>
      <c r="D121" s="24">
        <v>41388.269999999997</v>
      </c>
      <c r="E121" s="24">
        <v>44397.440000000002</v>
      </c>
      <c r="F121" s="24">
        <f t="shared" si="17"/>
        <v>43596.4</v>
      </c>
      <c r="G121" s="53">
        <f t="shared" si="11"/>
        <v>12</v>
      </c>
      <c r="J121" s="24"/>
      <c r="K121" s="24"/>
    </row>
    <row r="122" spans="1:11" x14ac:dyDescent="0.25">
      <c r="A122" s="24" t="s">
        <v>181</v>
      </c>
      <c r="B122" s="24">
        <v>41852.58</v>
      </c>
      <c r="C122" s="24">
        <v>50261.32</v>
      </c>
      <c r="D122" s="24">
        <v>43187.76</v>
      </c>
      <c r="E122" s="24">
        <v>46254.51</v>
      </c>
      <c r="F122" s="24">
        <f t="shared" si="17"/>
        <v>45389.042500000003</v>
      </c>
      <c r="G122" s="53">
        <f t="shared" si="11"/>
        <v>11</v>
      </c>
      <c r="J122" s="24"/>
      <c r="K122" s="24"/>
    </row>
    <row r="123" spans="1:11" x14ac:dyDescent="0.25">
      <c r="A123" s="24" t="s">
        <v>182</v>
      </c>
      <c r="B123" s="24">
        <v>41177.17</v>
      </c>
      <c r="C123" s="24">
        <v>49584.82</v>
      </c>
      <c r="D123" s="24">
        <v>42484.2</v>
      </c>
      <c r="E123" s="24">
        <v>45542.400000000001</v>
      </c>
      <c r="F123" s="24">
        <f t="shared" si="17"/>
        <v>44697.147499999999</v>
      </c>
      <c r="G123" s="53">
        <f t="shared" si="11"/>
        <v>10</v>
      </c>
      <c r="J123" s="24"/>
      <c r="K123" s="24"/>
    </row>
    <row r="124" spans="1:11" x14ac:dyDescent="0.25">
      <c r="A124" s="24" t="s">
        <v>183</v>
      </c>
      <c r="B124" s="24">
        <v>40099.1</v>
      </c>
      <c r="C124" s="24">
        <v>48460.47</v>
      </c>
      <c r="D124" s="24">
        <v>41361.21</v>
      </c>
      <c r="E124" s="24">
        <v>44333.83</v>
      </c>
      <c r="F124" s="24">
        <f t="shared" si="17"/>
        <v>43563.652499999997</v>
      </c>
      <c r="G124" s="53">
        <f t="shared" si="11"/>
        <v>9</v>
      </c>
      <c r="J124" s="24"/>
      <c r="K124" s="24"/>
    </row>
    <row r="125" spans="1:11" x14ac:dyDescent="0.25">
      <c r="A125" s="24" t="s">
        <v>184</v>
      </c>
      <c r="B125" s="24">
        <v>41488.9</v>
      </c>
      <c r="C125" s="24">
        <v>49927.12</v>
      </c>
      <c r="D125" s="24">
        <v>42808.92</v>
      </c>
      <c r="E125" s="24">
        <v>45841.83</v>
      </c>
      <c r="F125" s="24">
        <f t="shared" si="17"/>
        <v>45016.692500000005</v>
      </c>
      <c r="G125" s="53">
        <f t="shared" si="11"/>
        <v>8</v>
      </c>
      <c r="J125" s="24"/>
      <c r="K125" s="24"/>
    </row>
    <row r="126" spans="1:11" x14ac:dyDescent="0.25">
      <c r="A126" s="24" t="s">
        <v>185</v>
      </c>
      <c r="B126" s="24">
        <v>40191.96</v>
      </c>
      <c r="C126" s="24">
        <v>48574.12</v>
      </c>
      <c r="D126" s="24">
        <v>41469.449999999997</v>
      </c>
      <c r="E126" s="24">
        <v>44459.49</v>
      </c>
      <c r="F126" s="24">
        <f t="shared" si="17"/>
        <v>43673.754999999997</v>
      </c>
      <c r="G126" s="53">
        <f t="shared" si="11"/>
        <v>7</v>
      </c>
      <c r="J126" s="24"/>
      <c r="K126" s="24"/>
    </row>
    <row r="127" spans="1:11" x14ac:dyDescent="0.25">
      <c r="A127" s="24" t="s">
        <v>186</v>
      </c>
      <c r="B127" s="24">
        <v>39503.56</v>
      </c>
      <c r="C127" s="24">
        <v>47843.5</v>
      </c>
      <c r="D127" s="24">
        <v>40752.36</v>
      </c>
      <c r="E127" s="24">
        <v>43705.5</v>
      </c>
      <c r="F127" s="24">
        <f t="shared" si="17"/>
        <v>42951.229999999996</v>
      </c>
      <c r="G127" s="53">
        <f t="shared" si="11"/>
        <v>6</v>
      </c>
      <c r="J127" s="24"/>
      <c r="K127" s="24"/>
    </row>
    <row r="128" spans="1:11" x14ac:dyDescent="0.25">
      <c r="A128" s="24" t="s">
        <v>187</v>
      </c>
      <c r="B128" s="24">
        <v>42556</v>
      </c>
      <c r="C128" s="24">
        <v>51010</v>
      </c>
      <c r="D128" s="24">
        <v>43932</v>
      </c>
      <c r="E128" s="24">
        <v>46973</v>
      </c>
      <c r="F128" s="24">
        <f t="shared" si="17"/>
        <v>46117.75</v>
      </c>
      <c r="G128" s="53">
        <f t="shared" si="11"/>
        <v>5</v>
      </c>
      <c r="J128" s="24"/>
      <c r="K128" s="24"/>
    </row>
    <row r="129" spans="1:11" x14ac:dyDescent="0.25">
      <c r="A129" s="24" t="s">
        <v>188</v>
      </c>
      <c r="B129" s="24">
        <v>42452.01</v>
      </c>
      <c r="C129" s="24">
        <v>50914.81</v>
      </c>
      <c r="D129" s="24">
        <v>43823.67</v>
      </c>
      <c r="E129" s="24">
        <v>46875.09</v>
      </c>
      <c r="F129" s="24">
        <f t="shared" si="17"/>
        <v>46016.394999999997</v>
      </c>
      <c r="G129" s="53">
        <f t="shared" si="11"/>
        <v>4</v>
      </c>
      <c r="J129" s="24"/>
      <c r="K129" s="24"/>
    </row>
    <row r="130" spans="1:11" x14ac:dyDescent="0.25">
      <c r="A130" s="24" t="s">
        <v>189</v>
      </c>
      <c r="B130" s="24">
        <v>42179</v>
      </c>
      <c r="C130" s="24">
        <v>50634</v>
      </c>
      <c r="D130" s="24">
        <v>43540</v>
      </c>
      <c r="E130" s="24">
        <v>46548</v>
      </c>
      <c r="F130" s="24">
        <f t="shared" si="17"/>
        <v>45725.25</v>
      </c>
      <c r="G130" s="53">
        <f t="shared" si="11"/>
        <v>3</v>
      </c>
      <c r="J130" s="24"/>
      <c r="K130" s="24"/>
    </row>
    <row r="131" spans="1:11" x14ac:dyDescent="0.25">
      <c r="A131" s="24" t="s">
        <v>190</v>
      </c>
      <c r="B131" s="24">
        <v>40841.4</v>
      </c>
      <c r="C131" s="24">
        <v>49294.36</v>
      </c>
      <c r="D131" s="24">
        <v>42159.48</v>
      </c>
      <c r="E131" s="24">
        <v>45151.97</v>
      </c>
      <c r="F131" s="24">
        <f t="shared" si="17"/>
        <v>44361.802500000005</v>
      </c>
      <c r="G131" s="53">
        <f t="shared" si="11"/>
        <v>2</v>
      </c>
      <c r="J131" s="24"/>
      <c r="K131" s="24"/>
    </row>
    <row r="132" spans="1:11" x14ac:dyDescent="0.25">
      <c r="A132" s="41"/>
      <c r="B132" s="42"/>
      <c r="C132" s="42"/>
      <c r="D132" s="42"/>
      <c r="E132" s="43"/>
    </row>
    <row r="133" spans="1:11" x14ac:dyDescent="0.25">
      <c r="A133" s="41"/>
      <c r="B133" s="42"/>
      <c r="C133" s="42"/>
      <c r="D133" s="42"/>
      <c r="E133" s="43"/>
    </row>
    <row r="134" spans="1:11" x14ac:dyDescent="0.25">
      <c r="A134" s="41"/>
      <c r="B134" s="42"/>
      <c r="C134" s="42"/>
      <c r="D134" s="42"/>
      <c r="E134" s="43"/>
    </row>
    <row r="135" spans="1:11" ht="30" x14ac:dyDescent="0.25">
      <c r="A135" s="41"/>
      <c r="B135" s="57" t="s">
        <v>4</v>
      </c>
      <c r="C135" s="55" t="s">
        <v>269</v>
      </c>
      <c r="D135" s="55" t="s">
        <v>270</v>
      </c>
      <c r="E135" s="56" t="s">
        <v>271</v>
      </c>
      <c r="F135" s="58" t="s">
        <v>4</v>
      </c>
      <c r="G135" s="59" t="s">
        <v>269</v>
      </c>
      <c r="H135" s="59" t="s">
        <v>270</v>
      </c>
      <c r="I135" s="60" t="s">
        <v>271</v>
      </c>
      <c r="J135" s="58" t="s">
        <v>272</v>
      </c>
    </row>
    <row r="136" spans="1:11" x14ac:dyDescent="0.25">
      <c r="B136" t="s">
        <v>190</v>
      </c>
      <c r="C136">
        <v>44361.802500000005</v>
      </c>
      <c r="D136">
        <v>82.63</v>
      </c>
      <c r="E136">
        <v>84.53</v>
      </c>
      <c r="F136" s="61" t="s">
        <v>190</v>
      </c>
      <c r="G136" s="61">
        <v>100</v>
      </c>
      <c r="H136" s="61">
        <v>100</v>
      </c>
      <c r="I136" s="61">
        <v>100</v>
      </c>
      <c r="J136" s="34">
        <f>G136/H136-1</f>
        <v>0</v>
      </c>
    </row>
    <row r="137" spans="1:11" x14ac:dyDescent="0.25">
      <c r="B137" t="s">
        <v>188</v>
      </c>
      <c r="C137">
        <v>46016.394999999997</v>
      </c>
      <c r="D137">
        <v>88.09</v>
      </c>
      <c r="E137">
        <v>86.19</v>
      </c>
      <c r="F137" s="61" t="s">
        <v>188</v>
      </c>
      <c r="G137" s="61">
        <f t="shared" ref="G137:G168" si="18">(1+(C137/C136)-1)*G136</f>
        <v>103.72976841957673</v>
      </c>
      <c r="H137" s="61">
        <f t="shared" ref="H137:H168" si="19">(1+(D137/D136)-1)*H136</f>
        <v>106.60776957521483</v>
      </c>
      <c r="I137" s="61">
        <f t="shared" ref="I137:I168" si="20">(1+(E137/E136)-1)*I136</f>
        <v>101.96379983437831</v>
      </c>
      <c r="J137" s="34">
        <f t="shared" ref="J137:J200" si="21">G137/H137-1</f>
        <v>-2.6996167043975117E-2</v>
      </c>
    </row>
    <row r="138" spans="1:11" x14ac:dyDescent="0.25">
      <c r="B138" t="s">
        <v>186</v>
      </c>
      <c r="C138">
        <v>42951.229999999996</v>
      </c>
      <c r="D138">
        <v>73.08</v>
      </c>
      <c r="E138">
        <v>72.7</v>
      </c>
      <c r="F138" s="61" t="s">
        <v>186</v>
      </c>
      <c r="G138" s="61">
        <f t="shared" si="18"/>
        <v>96.820299400593555</v>
      </c>
      <c r="H138" s="61">
        <f t="shared" si="19"/>
        <v>88.442454314413666</v>
      </c>
      <c r="I138" s="61">
        <f t="shared" si="20"/>
        <v>86.004968650183372</v>
      </c>
      <c r="J138" s="34">
        <f t="shared" si="21"/>
        <v>9.4726510600854352E-2</v>
      </c>
    </row>
    <row r="139" spans="1:11" x14ac:dyDescent="0.25">
      <c r="B139" t="s">
        <v>184</v>
      </c>
      <c r="C139">
        <v>45016.692500000005</v>
      </c>
      <c r="D139">
        <v>71.73</v>
      </c>
      <c r="E139">
        <v>72.95</v>
      </c>
      <c r="F139" s="61" t="s">
        <v>184</v>
      </c>
      <c r="G139" s="61">
        <f t="shared" si="18"/>
        <v>101.4762474991858</v>
      </c>
      <c r="H139" s="61">
        <f t="shared" si="19"/>
        <v>86.808665133728695</v>
      </c>
      <c r="I139" s="61">
        <f t="shared" si="20"/>
        <v>86.300721637288532</v>
      </c>
      <c r="J139" s="34">
        <f t="shared" si="21"/>
        <v>0.16896449614634323</v>
      </c>
    </row>
    <row r="140" spans="1:11" x14ac:dyDescent="0.25">
      <c r="B140" t="s">
        <v>182</v>
      </c>
      <c r="C140">
        <v>44697.147499999999</v>
      </c>
      <c r="D140">
        <v>81.93</v>
      </c>
      <c r="E140">
        <v>81.25</v>
      </c>
      <c r="F140" s="61" t="s">
        <v>182</v>
      </c>
      <c r="G140" s="61">
        <f t="shared" si="18"/>
        <v>100.75593186277764</v>
      </c>
      <c r="H140" s="61">
        <f t="shared" si="19"/>
        <v>99.152850054459691</v>
      </c>
      <c r="I140" s="61">
        <f t="shared" si="20"/>
        <v>96.119720809180151</v>
      </c>
      <c r="J140" s="34">
        <f t="shared" si="21"/>
        <v>1.6167783451887185E-2</v>
      </c>
    </row>
    <row r="141" spans="1:11" x14ac:dyDescent="0.25">
      <c r="B141" t="s">
        <v>180</v>
      </c>
      <c r="C141">
        <v>43596.4</v>
      </c>
      <c r="D141">
        <v>75.53</v>
      </c>
      <c r="E141">
        <v>73.97</v>
      </c>
      <c r="F141" s="61" t="s">
        <v>180</v>
      </c>
      <c r="G141" s="61">
        <f t="shared" si="18"/>
        <v>98.274636157987487</v>
      </c>
      <c r="H141" s="61">
        <f t="shared" si="19"/>
        <v>91.407479123804961</v>
      </c>
      <c r="I141" s="61">
        <f t="shared" si="20"/>
        <v>87.507393824677621</v>
      </c>
      <c r="J141" s="34">
        <f t="shared" si="21"/>
        <v>7.5126861609228435E-2</v>
      </c>
    </row>
    <row r="142" spans="1:11" x14ac:dyDescent="0.25">
      <c r="B142" t="s">
        <v>178</v>
      </c>
      <c r="C142">
        <v>44195.267500000002</v>
      </c>
      <c r="D142">
        <v>82.69</v>
      </c>
      <c r="E142">
        <v>81.569999999999993</v>
      </c>
      <c r="F142" s="61" t="s">
        <v>178</v>
      </c>
      <c r="G142" s="61">
        <f t="shared" si="18"/>
        <v>99.624598211490635</v>
      </c>
      <c r="H142" s="61">
        <f t="shared" si="19"/>
        <v>100.07261285247495</v>
      </c>
      <c r="I142" s="61">
        <f t="shared" si="20"/>
        <v>96.498284632674768</v>
      </c>
      <c r="J142" s="34">
        <f t="shared" si="21"/>
        <v>-4.4768956082396061E-3</v>
      </c>
    </row>
    <row r="143" spans="1:11" x14ac:dyDescent="0.25">
      <c r="B143" t="s">
        <v>176</v>
      </c>
      <c r="C143">
        <v>45777</v>
      </c>
      <c r="D143">
        <v>84.06</v>
      </c>
      <c r="E143">
        <v>82.94</v>
      </c>
      <c r="F143" s="61" t="s">
        <v>176</v>
      </c>
      <c r="G143" s="61">
        <f t="shared" si="18"/>
        <v>103.19012623528991</v>
      </c>
      <c r="H143" s="61">
        <f t="shared" si="19"/>
        <v>101.73060631731825</v>
      </c>
      <c r="I143" s="61">
        <f t="shared" si="20"/>
        <v>98.119011002011135</v>
      </c>
      <c r="J143" s="34">
        <f t="shared" si="21"/>
        <v>1.4346910637877519E-2</v>
      </c>
    </row>
    <row r="144" spans="1:11" x14ac:dyDescent="0.25">
      <c r="B144" t="s">
        <v>174</v>
      </c>
      <c r="C144">
        <v>47892.115000000005</v>
      </c>
      <c r="D144">
        <v>88.56</v>
      </c>
      <c r="E144">
        <v>86.75</v>
      </c>
      <c r="F144" s="61" t="s">
        <v>174</v>
      </c>
      <c r="G144" s="61">
        <f t="shared" si="18"/>
        <v>107.9580005794399</v>
      </c>
      <c r="H144" s="61">
        <f t="shared" si="19"/>
        <v>107.17657025293485</v>
      </c>
      <c r="I144" s="61">
        <f t="shared" si="20"/>
        <v>102.6262865254939</v>
      </c>
      <c r="J144" s="34">
        <f t="shared" si="21"/>
        <v>7.2910555419052336E-3</v>
      </c>
    </row>
    <row r="145" spans="2:10" x14ac:dyDescent="0.25">
      <c r="B145" t="s">
        <v>145</v>
      </c>
      <c r="C145">
        <v>50576.880000000005</v>
      </c>
      <c r="D145">
        <v>95.82</v>
      </c>
      <c r="E145">
        <v>91.59</v>
      </c>
      <c r="F145" s="61" t="s">
        <v>145</v>
      </c>
      <c r="G145" s="61">
        <f t="shared" si="18"/>
        <v>114.00997513570368</v>
      </c>
      <c r="H145" s="61">
        <f t="shared" si="19"/>
        <v>115.96272540239629</v>
      </c>
      <c r="I145" s="61">
        <f t="shared" si="20"/>
        <v>108.35206435584999</v>
      </c>
      <c r="J145" s="34">
        <f t="shared" si="21"/>
        <v>-1.6839465094636741E-2</v>
      </c>
    </row>
    <row r="146" spans="2:10" x14ac:dyDescent="0.25">
      <c r="B146" t="s">
        <v>143</v>
      </c>
      <c r="C146">
        <v>53872.264999999999</v>
      </c>
      <c r="D146">
        <v>100.4</v>
      </c>
      <c r="E146">
        <v>89.54</v>
      </c>
      <c r="F146" s="61" t="s">
        <v>143</v>
      </c>
      <c r="G146" s="61">
        <f t="shared" si="18"/>
        <v>121.43840413157238</v>
      </c>
      <c r="H146" s="61">
        <f t="shared" si="19"/>
        <v>121.50550647464608</v>
      </c>
      <c r="I146" s="61">
        <f t="shared" si="20"/>
        <v>105.9268898615876</v>
      </c>
      <c r="J146" s="34">
        <f t="shared" si="21"/>
        <v>-5.5225763029675967E-4</v>
      </c>
    </row>
    <row r="147" spans="2:10" x14ac:dyDescent="0.25">
      <c r="B147" t="s">
        <v>141</v>
      </c>
      <c r="C147">
        <v>58021.292499999996</v>
      </c>
      <c r="D147">
        <v>113.34</v>
      </c>
      <c r="E147">
        <v>99.63</v>
      </c>
      <c r="F147" s="61" t="s">
        <v>141</v>
      </c>
      <c r="G147" s="61">
        <f t="shared" si="18"/>
        <v>130.79110683115269</v>
      </c>
      <c r="H147" s="61">
        <f t="shared" si="19"/>
        <v>137.16567832506365</v>
      </c>
      <c r="I147" s="61">
        <f t="shared" si="20"/>
        <v>117.86348042115227</v>
      </c>
      <c r="J147" s="34">
        <f t="shared" si="21"/>
        <v>-4.6473517076218718E-2</v>
      </c>
    </row>
    <row r="148" spans="2:10" x14ac:dyDescent="0.25">
      <c r="B148" t="s">
        <v>139</v>
      </c>
      <c r="C148">
        <v>62458.097499999996</v>
      </c>
      <c r="D148">
        <v>118.63</v>
      </c>
      <c r="E148">
        <v>107.55</v>
      </c>
      <c r="F148" s="61" t="s">
        <v>139</v>
      </c>
      <c r="G148" s="61">
        <f t="shared" si="18"/>
        <v>140.79251513731876</v>
      </c>
      <c r="H148" s="61">
        <f t="shared" si="19"/>
        <v>143.56771148493297</v>
      </c>
      <c r="I148" s="61">
        <f t="shared" si="20"/>
        <v>127.23293505264407</v>
      </c>
      <c r="J148" s="34">
        <f t="shared" si="21"/>
        <v>-1.9330226266826456E-2</v>
      </c>
    </row>
    <row r="149" spans="2:10" x14ac:dyDescent="0.25">
      <c r="B149" t="s">
        <v>137</v>
      </c>
      <c r="C149">
        <v>63967.75</v>
      </c>
      <c r="D149">
        <v>121.55</v>
      </c>
      <c r="E149">
        <v>113.03</v>
      </c>
      <c r="F149" s="61" t="s">
        <v>137</v>
      </c>
      <c r="G149" s="61">
        <f t="shared" si="18"/>
        <v>144.19556103474369</v>
      </c>
      <c r="H149" s="61">
        <f t="shared" si="19"/>
        <v>147.10153697204416</v>
      </c>
      <c r="I149" s="61">
        <f t="shared" si="20"/>
        <v>133.71584052998941</v>
      </c>
      <c r="J149" s="34">
        <f t="shared" si="21"/>
        <v>-1.9754898535511156E-2</v>
      </c>
    </row>
    <row r="150" spans="2:10" x14ac:dyDescent="0.25">
      <c r="B150" t="s">
        <v>135</v>
      </c>
      <c r="C150">
        <v>59747.972500000003</v>
      </c>
      <c r="D150">
        <v>115.09</v>
      </c>
      <c r="E150">
        <v>100.3</v>
      </c>
      <c r="F150" s="61" t="s">
        <v>135</v>
      </c>
      <c r="G150" s="61">
        <f t="shared" si="18"/>
        <v>134.68337428354036</v>
      </c>
      <c r="H150" s="61">
        <f t="shared" si="19"/>
        <v>139.28355318891454</v>
      </c>
      <c r="I150" s="61">
        <f t="shared" si="20"/>
        <v>118.65609842659417</v>
      </c>
      <c r="J150" s="34">
        <f t="shared" si="21"/>
        <v>-3.3027437913899393E-2</v>
      </c>
    </row>
    <row r="151" spans="2:10" x14ac:dyDescent="0.25">
      <c r="B151" t="s">
        <v>133</v>
      </c>
      <c r="C151">
        <v>59498.082499999997</v>
      </c>
      <c r="D151">
        <v>113.55</v>
      </c>
      <c r="E151">
        <v>94.81</v>
      </c>
      <c r="F151" s="61" t="s">
        <v>133</v>
      </c>
      <c r="G151" s="61">
        <f t="shared" si="18"/>
        <v>134.12007435901631</v>
      </c>
      <c r="H151" s="61">
        <f t="shared" si="19"/>
        <v>137.41982330872574</v>
      </c>
      <c r="I151" s="61">
        <f t="shared" si="20"/>
        <v>112.16136282976463</v>
      </c>
      <c r="J151" s="34">
        <f t="shared" si="21"/>
        <v>-2.4012175756449983E-2</v>
      </c>
    </row>
    <row r="152" spans="2:10" x14ac:dyDescent="0.25">
      <c r="B152" t="s">
        <v>152</v>
      </c>
      <c r="C152">
        <v>61142.5</v>
      </c>
      <c r="D152">
        <v>113.74</v>
      </c>
      <c r="E152">
        <v>94.98</v>
      </c>
      <c r="F152" s="61" t="s">
        <v>152</v>
      </c>
      <c r="G152" s="61">
        <f t="shared" si="18"/>
        <v>137.82690637964939</v>
      </c>
      <c r="H152" s="61">
        <f t="shared" si="19"/>
        <v>137.64976400822954</v>
      </c>
      <c r="I152" s="61">
        <f t="shared" si="20"/>
        <v>112.36247486099613</v>
      </c>
      <c r="J152" s="34">
        <f t="shared" si="21"/>
        <v>1.2869064665397278E-3</v>
      </c>
    </row>
    <row r="153" spans="2:10" x14ac:dyDescent="0.25">
      <c r="B153" t="s">
        <v>150</v>
      </c>
      <c r="C153">
        <v>59492</v>
      </c>
      <c r="D153">
        <v>117.5</v>
      </c>
      <c r="E153">
        <v>88.93</v>
      </c>
      <c r="F153" s="61" t="s">
        <v>150</v>
      </c>
      <c r="G153" s="61">
        <f t="shared" si="18"/>
        <v>134.10636323895983</v>
      </c>
      <c r="H153" s="61">
        <f t="shared" si="19"/>
        <v>142.20016942998919</v>
      </c>
      <c r="I153" s="61">
        <f t="shared" si="20"/>
        <v>105.20525257305103</v>
      </c>
      <c r="J153" s="34">
        <f t="shared" si="21"/>
        <v>-5.6918400473596198E-2</v>
      </c>
    </row>
    <row r="154" spans="2:10" x14ac:dyDescent="0.25">
      <c r="B154" t="s">
        <v>148</v>
      </c>
      <c r="C154">
        <v>61886.75</v>
      </c>
      <c r="D154">
        <v>104.38</v>
      </c>
      <c r="E154">
        <v>77.34</v>
      </c>
      <c r="F154" s="61" t="s">
        <v>148</v>
      </c>
      <c r="G154" s="61">
        <f t="shared" si="18"/>
        <v>139.50458843506178</v>
      </c>
      <c r="H154" s="61">
        <f t="shared" si="19"/>
        <v>126.32215902214701</v>
      </c>
      <c r="I154" s="61">
        <f t="shared" si="20"/>
        <v>91.494144090855343</v>
      </c>
      <c r="J154" s="34">
        <f t="shared" si="21"/>
        <v>0.10435563732411834</v>
      </c>
    </row>
    <row r="155" spans="2:10" x14ac:dyDescent="0.25">
      <c r="B155" t="s">
        <v>156</v>
      </c>
      <c r="C155">
        <v>64490.415000000008</v>
      </c>
      <c r="D155">
        <v>112.22</v>
      </c>
      <c r="E155">
        <v>92.19</v>
      </c>
      <c r="F155" s="61" t="s">
        <v>156</v>
      </c>
      <c r="G155" s="61">
        <f t="shared" si="18"/>
        <v>145.37374805723897</v>
      </c>
      <c r="H155" s="61">
        <f t="shared" si="19"/>
        <v>135.81023841219908</v>
      </c>
      <c r="I155" s="61">
        <f t="shared" si="20"/>
        <v>109.06187152490243</v>
      </c>
      <c r="J155" s="34">
        <f t="shared" si="21"/>
        <v>7.0418178753310023E-2</v>
      </c>
    </row>
    <row r="156" spans="2:10" x14ac:dyDescent="0.25">
      <c r="B156" t="s">
        <v>154</v>
      </c>
      <c r="C156">
        <v>68172.649999999994</v>
      </c>
      <c r="D156">
        <v>110.16</v>
      </c>
      <c r="E156">
        <v>100.2</v>
      </c>
      <c r="F156" s="61" t="s">
        <v>154</v>
      </c>
      <c r="G156" s="61">
        <f t="shared" si="18"/>
        <v>153.67421105127525</v>
      </c>
      <c r="H156" s="61">
        <f t="shared" si="19"/>
        <v>133.31719714389459</v>
      </c>
      <c r="I156" s="61">
        <f t="shared" si="20"/>
        <v>118.53779723175211</v>
      </c>
      <c r="J156" s="34">
        <f t="shared" si="21"/>
        <v>0.15269608380236588</v>
      </c>
    </row>
    <row r="157" spans="2:10" x14ac:dyDescent="0.25">
      <c r="B157" t="s">
        <v>171</v>
      </c>
      <c r="C157">
        <v>66600.057499999995</v>
      </c>
      <c r="D157">
        <v>111.07</v>
      </c>
      <c r="E157">
        <v>102.96</v>
      </c>
      <c r="F157" s="61" t="s">
        <v>171</v>
      </c>
      <c r="G157" s="61">
        <f t="shared" si="18"/>
        <v>150.12928633817327</v>
      </c>
      <c r="H157" s="61">
        <f t="shared" si="19"/>
        <v>134.41849207309707</v>
      </c>
      <c r="I157" s="61">
        <f t="shared" si="20"/>
        <v>121.80291020939319</v>
      </c>
      <c r="J157" s="34">
        <f t="shared" si="21"/>
        <v>0.11687970920349744</v>
      </c>
    </row>
    <row r="158" spans="2:10" x14ac:dyDescent="0.25">
      <c r="B158" t="s">
        <v>169</v>
      </c>
      <c r="C158">
        <v>66407.39</v>
      </c>
      <c r="D158">
        <v>116.86</v>
      </c>
      <c r="E158">
        <v>97.63</v>
      </c>
      <c r="F158" s="61" t="s">
        <v>169</v>
      </c>
      <c r="G158" s="61">
        <f t="shared" si="18"/>
        <v>149.69497688918281</v>
      </c>
      <c r="H158" s="61">
        <f t="shared" si="19"/>
        <v>141.42563233692377</v>
      </c>
      <c r="I158" s="61">
        <f t="shared" si="20"/>
        <v>115.49745652431095</v>
      </c>
      <c r="J158" s="34">
        <f t="shared" si="21"/>
        <v>5.8471328115109023E-2</v>
      </c>
    </row>
    <row r="159" spans="2:10" x14ac:dyDescent="0.25">
      <c r="B159" t="s">
        <v>167</v>
      </c>
      <c r="C159">
        <v>68179.902499999997</v>
      </c>
      <c r="D159">
        <v>125.37</v>
      </c>
      <c r="E159">
        <v>108.76</v>
      </c>
      <c r="F159" s="61" t="s">
        <v>167</v>
      </c>
      <c r="G159" s="61">
        <f t="shared" si="18"/>
        <v>153.69055957543631</v>
      </c>
      <c r="H159" s="61">
        <f t="shared" si="19"/>
        <v>151.72455524627875</v>
      </c>
      <c r="I159" s="61">
        <f t="shared" si="20"/>
        <v>128.66437951023312</v>
      </c>
      <c r="J159" s="34">
        <f t="shared" si="21"/>
        <v>1.2957720165772457E-2</v>
      </c>
    </row>
    <row r="160" spans="2:10" x14ac:dyDescent="0.25">
      <c r="B160" t="s">
        <v>164</v>
      </c>
      <c r="C160">
        <v>71514.102500000008</v>
      </c>
      <c r="D160">
        <v>121.89</v>
      </c>
      <c r="E160">
        <v>105.25</v>
      </c>
      <c r="F160" s="61" t="s">
        <v>164</v>
      </c>
      <c r="G160" s="61">
        <f t="shared" si="18"/>
        <v>161.20648501602233</v>
      </c>
      <c r="H160" s="61">
        <f t="shared" si="19"/>
        <v>147.51300980273521</v>
      </c>
      <c r="I160" s="61">
        <f t="shared" si="20"/>
        <v>124.51200757127651</v>
      </c>
      <c r="J160" s="34">
        <f t="shared" si="21"/>
        <v>9.2828932387719609E-2</v>
      </c>
    </row>
    <row r="161" spans="2:10" x14ac:dyDescent="0.25">
      <c r="B161" s="62" t="s">
        <v>162</v>
      </c>
      <c r="C161" s="62">
        <v>71028.237500000003</v>
      </c>
      <c r="D161" s="62">
        <v>111.89</v>
      </c>
      <c r="E161" s="62">
        <v>106.17</v>
      </c>
      <c r="F161" s="63" t="s">
        <v>162</v>
      </c>
      <c r="G161" s="63">
        <f t="shared" si="18"/>
        <v>160.11125224228638</v>
      </c>
      <c r="H161" s="63">
        <f t="shared" si="19"/>
        <v>135.41086772358719</v>
      </c>
      <c r="I161" s="63">
        <f t="shared" si="20"/>
        <v>125.60037856382357</v>
      </c>
      <c r="J161" s="64">
        <f t="shared" si="21"/>
        <v>0.18241065088748876</v>
      </c>
    </row>
    <row r="162" spans="2:10" x14ac:dyDescent="0.25">
      <c r="B162" t="s">
        <v>160</v>
      </c>
      <c r="C162">
        <v>69315.494999999995</v>
      </c>
      <c r="D162">
        <v>98.6</v>
      </c>
      <c r="E162">
        <v>83.17</v>
      </c>
      <c r="F162" s="61" t="s">
        <v>160</v>
      </c>
      <c r="G162" s="61">
        <f t="shared" si="18"/>
        <v>156.25040258452054</v>
      </c>
      <c r="H162" s="61">
        <f t="shared" si="19"/>
        <v>119.32712090039946</v>
      </c>
      <c r="I162" s="61">
        <f t="shared" si="20"/>
        <v>98.39110375014792</v>
      </c>
      <c r="J162" s="34">
        <f t="shared" si="21"/>
        <v>0.30942908372808553</v>
      </c>
    </row>
    <row r="163" spans="2:10" x14ac:dyDescent="0.25">
      <c r="B163" t="s">
        <v>158</v>
      </c>
      <c r="C163">
        <v>64652</v>
      </c>
      <c r="D163">
        <v>99.23</v>
      </c>
      <c r="E163">
        <v>83.72</v>
      </c>
      <c r="F163" s="61" t="s">
        <v>158</v>
      </c>
      <c r="G163" s="61">
        <f t="shared" si="18"/>
        <v>145.73799159761353</v>
      </c>
      <c r="H163" s="61">
        <f t="shared" si="19"/>
        <v>120.08955585138578</v>
      </c>
      <c r="I163" s="61">
        <f t="shared" si="20"/>
        <v>99.041760321779265</v>
      </c>
      <c r="J163" s="34">
        <f t="shared" si="21"/>
        <v>0.21357757187451343</v>
      </c>
    </row>
    <row r="164" spans="2:10" x14ac:dyDescent="0.25">
      <c r="B164" t="s">
        <v>264</v>
      </c>
      <c r="C164">
        <v>68561.290000000008</v>
      </c>
      <c r="D164">
        <v>113.52</v>
      </c>
      <c r="E164">
        <v>88.99</v>
      </c>
      <c r="F164" s="61" t="s">
        <v>264</v>
      </c>
      <c r="G164" s="61">
        <f t="shared" si="18"/>
        <v>154.5502800523038</v>
      </c>
      <c r="H164" s="61">
        <f t="shared" si="19"/>
        <v>137.38351688248829</v>
      </c>
      <c r="I164" s="61">
        <f t="shared" si="20"/>
        <v>105.27623328995624</v>
      </c>
      <c r="J164" s="34">
        <f t="shared" si="21"/>
        <v>0.12495504234688637</v>
      </c>
    </row>
    <row r="165" spans="2:10" x14ac:dyDescent="0.25">
      <c r="B165" t="s">
        <v>262</v>
      </c>
      <c r="C165">
        <v>75263.342499999999</v>
      </c>
      <c r="D165">
        <v>114.86</v>
      </c>
      <c r="E165">
        <v>95.34</v>
      </c>
      <c r="F165" s="61" t="s">
        <v>262</v>
      </c>
      <c r="G165" s="61">
        <f t="shared" si="18"/>
        <v>169.6579901143555</v>
      </c>
      <c r="H165" s="61">
        <f t="shared" si="19"/>
        <v>139.00520392109411</v>
      </c>
      <c r="I165" s="61">
        <f t="shared" si="20"/>
        <v>112.78835916242758</v>
      </c>
      <c r="J165" s="34">
        <f t="shared" si="21"/>
        <v>0.22051538596109932</v>
      </c>
    </row>
    <row r="166" spans="2:10" x14ac:dyDescent="0.25">
      <c r="B166" t="s">
        <v>260</v>
      </c>
      <c r="C166">
        <v>73406.565000000002</v>
      </c>
      <c r="D166">
        <v>114.32</v>
      </c>
      <c r="E166">
        <v>92.44</v>
      </c>
      <c r="F166" s="61" t="s">
        <v>260</v>
      </c>
      <c r="G166" s="61">
        <f t="shared" si="18"/>
        <v>165.47245797778373</v>
      </c>
      <c r="H166" s="61">
        <f t="shared" si="19"/>
        <v>138.35168824882012</v>
      </c>
      <c r="I166" s="61">
        <f t="shared" si="20"/>
        <v>109.3576245120076</v>
      </c>
      <c r="J166" s="34">
        <f t="shared" si="21"/>
        <v>0.19602774691254909</v>
      </c>
    </row>
    <row r="167" spans="2:10" x14ac:dyDescent="0.25">
      <c r="B167" t="s">
        <v>258</v>
      </c>
      <c r="C167">
        <v>71455.929999999993</v>
      </c>
      <c r="D167">
        <v>108.61</v>
      </c>
      <c r="E167">
        <v>87.05</v>
      </c>
      <c r="F167" s="61" t="s">
        <v>258</v>
      </c>
      <c r="G167" s="61">
        <f t="shared" si="18"/>
        <v>161.07535305852349</v>
      </c>
      <c r="H167" s="61">
        <f t="shared" si="19"/>
        <v>131.44136512162663</v>
      </c>
      <c r="I167" s="61">
        <f t="shared" si="20"/>
        <v>102.98119011002012</v>
      </c>
      <c r="J167" s="34">
        <f t="shared" si="21"/>
        <v>0.22545404872716923</v>
      </c>
    </row>
    <row r="168" spans="2:10" x14ac:dyDescent="0.25">
      <c r="B168" t="s">
        <v>257</v>
      </c>
      <c r="C168">
        <v>70760.785000000003</v>
      </c>
      <c r="D168">
        <v>107.6</v>
      </c>
      <c r="E168">
        <v>88.69</v>
      </c>
      <c r="F168" s="61" t="s">
        <v>257</v>
      </c>
      <c r="G168" s="61">
        <f t="shared" si="18"/>
        <v>159.50836307879939</v>
      </c>
      <c r="H168" s="61">
        <f t="shared" si="19"/>
        <v>130.21904877163269</v>
      </c>
      <c r="I168" s="61">
        <f t="shared" si="20"/>
        <v>104.92132970543004</v>
      </c>
      <c r="J168" s="34">
        <f t="shared" si="21"/>
        <v>0.22492342390345565</v>
      </c>
    </row>
    <row r="169" spans="2:10" x14ac:dyDescent="0.25">
      <c r="B169" t="s">
        <v>256</v>
      </c>
      <c r="C169">
        <v>70473.55</v>
      </c>
      <c r="D169">
        <v>112.97</v>
      </c>
      <c r="E169">
        <v>93.14</v>
      </c>
      <c r="F169" s="61" t="s">
        <v>256</v>
      </c>
      <c r="G169" s="61">
        <f t="shared" ref="G169:G200" si="22">(1+(C169/C168)-1)*G168</f>
        <v>158.86088037112538</v>
      </c>
      <c r="H169" s="61">
        <f t="shared" ref="H169:H200" si="23">(1+(D169/D168)-1)*H168</f>
        <v>136.71789906813515</v>
      </c>
      <c r="I169" s="61">
        <f t="shared" ref="I169:I200" si="24">(1+(E169/E168)-1)*I168</f>
        <v>110.18573287590208</v>
      </c>
      <c r="J169" s="34">
        <f t="shared" si="21"/>
        <v>0.16196109985536689</v>
      </c>
    </row>
    <row r="170" spans="2:10" x14ac:dyDescent="0.25">
      <c r="B170" t="s">
        <v>255</v>
      </c>
      <c r="C170">
        <v>71872.722499999989</v>
      </c>
      <c r="D170">
        <v>118.29</v>
      </c>
      <c r="E170">
        <v>97.46</v>
      </c>
      <c r="F170" s="61" t="s">
        <v>255</v>
      </c>
      <c r="G170" s="61">
        <f t="shared" si="22"/>
        <v>162.01488318694871</v>
      </c>
      <c r="H170" s="61">
        <f t="shared" si="23"/>
        <v>143.15623865424192</v>
      </c>
      <c r="I170" s="61">
        <f t="shared" si="24"/>
        <v>115.29634449307936</v>
      </c>
      <c r="J170" s="34">
        <f t="shared" si="21"/>
        <v>0.13173470265766851</v>
      </c>
    </row>
    <row r="171" spans="2:10" x14ac:dyDescent="0.25">
      <c r="B171" t="s">
        <v>254</v>
      </c>
      <c r="C171">
        <v>74502.547500000001</v>
      </c>
      <c r="D171">
        <v>108.64</v>
      </c>
      <c r="E171">
        <v>90.71</v>
      </c>
      <c r="F171" s="61" t="s">
        <v>254</v>
      </c>
      <c r="G171" s="61">
        <f t="shared" si="22"/>
        <v>167.94301245987441</v>
      </c>
      <c r="H171" s="61">
        <f t="shared" si="23"/>
        <v>131.47767154786411</v>
      </c>
      <c r="I171" s="61">
        <f t="shared" si="24"/>
        <v>107.31101384123978</v>
      </c>
      <c r="J171" s="34">
        <f t="shared" si="21"/>
        <v>0.27735006623337699</v>
      </c>
    </row>
    <row r="172" spans="2:10" x14ac:dyDescent="0.25">
      <c r="B172" t="s">
        <v>253</v>
      </c>
      <c r="C172">
        <v>70671.505000000005</v>
      </c>
      <c r="D172">
        <v>104.08</v>
      </c>
      <c r="E172">
        <v>97.1</v>
      </c>
      <c r="F172" s="61" t="s">
        <v>253</v>
      </c>
      <c r="G172" s="61">
        <f t="shared" si="22"/>
        <v>159.30710885789614</v>
      </c>
      <c r="H172" s="61">
        <f t="shared" si="23"/>
        <v>125.9590947597726</v>
      </c>
      <c r="I172" s="61">
        <f t="shared" si="24"/>
        <v>114.87046019164791</v>
      </c>
      <c r="J172" s="34">
        <f t="shared" si="21"/>
        <v>0.26475272914373038</v>
      </c>
    </row>
    <row r="173" spans="2:10" x14ac:dyDescent="0.25">
      <c r="B173" t="s">
        <v>252</v>
      </c>
      <c r="C173">
        <v>66995.097500000003</v>
      </c>
      <c r="D173">
        <v>103.59</v>
      </c>
      <c r="E173">
        <v>90.74</v>
      </c>
      <c r="F173" s="61" t="s">
        <v>252</v>
      </c>
      <c r="G173" s="61">
        <f t="shared" si="22"/>
        <v>151.01978216507297</v>
      </c>
      <c r="H173" s="61">
        <f t="shared" si="23"/>
        <v>125.36608979789435</v>
      </c>
      <c r="I173" s="61">
        <f t="shared" si="24"/>
        <v>107.34650419969239</v>
      </c>
      <c r="J173" s="34">
        <f t="shared" si="21"/>
        <v>0.20463023460758456</v>
      </c>
    </row>
    <row r="174" spans="2:10" x14ac:dyDescent="0.25">
      <c r="B174" t="s">
        <v>251</v>
      </c>
      <c r="C174">
        <v>66745.172499999986</v>
      </c>
      <c r="D174">
        <v>101.5</v>
      </c>
      <c r="E174">
        <v>93.41</v>
      </c>
      <c r="F174" s="61" t="s">
        <v>251</v>
      </c>
      <c r="G174" s="61">
        <f t="shared" si="22"/>
        <v>150.4564033438449</v>
      </c>
      <c r="H174" s="61">
        <f t="shared" si="23"/>
        <v>122.83674210335242</v>
      </c>
      <c r="I174" s="61">
        <f t="shared" si="24"/>
        <v>110.50514610197563</v>
      </c>
      <c r="J174" s="34">
        <f t="shared" si="21"/>
        <v>0.22484853283762463</v>
      </c>
    </row>
    <row r="175" spans="2:10" x14ac:dyDescent="0.25">
      <c r="B175" t="s">
        <v>250</v>
      </c>
      <c r="C175">
        <v>70506.75</v>
      </c>
      <c r="D175">
        <v>108.43</v>
      </c>
      <c r="E175">
        <v>97.94</v>
      </c>
      <c r="F175" s="61" t="s">
        <v>250</v>
      </c>
      <c r="G175" s="61">
        <f t="shared" si="22"/>
        <v>158.93571953033211</v>
      </c>
      <c r="H175" s="61">
        <f t="shared" si="23"/>
        <v>131.22352656420199</v>
      </c>
      <c r="I175" s="61">
        <f t="shared" si="24"/>
        <v>115.86419022832129</v>
      </c>
      <c r="J175" s="34">
        <f t="shared" si="21"/>
        <v>0.21118311397134826</v>
      </c>
    </row>
    <row r="176" spans="2:10" x14ac:dyDescent="0.25">
      <c r="B176" t="s">
        <v>249</v>
      </c>
      <c r="C176">
        <v>74827.64499999999</v>
      </c>
      <c r="D176">
        <v>108.49</v>
      </c>
      <c r="E176">
        <v>107.93</v>
      </c>
      <c r="F176" s="61" t="s">
        <v>249</v>
      </c>
      <c r="G176" s="61">
        <f t="shared" si="22"/>
        <v>168.67584449482152</v>
      </c>
      <c r="H176" s="61">
        <f t="shared" si="23"/>
        <v>131.29613941667685</v>
      </c>
      <c r="I176" s="61">
        <f t="shared" si="24"/>
        <v>127.68247959304387</v>
      </c>
      <c r="J176" s="34">
        <f t="shared" si="21"/>
        <v>0.2846976708090232</v>
      </c>
    </row>
    <row r="177" spans="2:10" x14ac:dyDescent="0.25">
      <c r="B177" t="s">
        <v>248</v>
      </c>
      <c r="C177">
        <v>80012.239999999991</v>
      </c>
      <c r="D177">
        <v>112.37</v>
      </c>
      <c r="E177">
        <v>108.67</v>
      </c>
      <c r="F177" s="61" t="s">
        <v>248</v>
      </c>
      <c r="G177" s="61">
        <f t="shared" si="22"/>
        <v>180.36291469446002</v>
      </c>
      <c r="H177" s="61">
        <f t="shared" si="23"/>
        <v>135.99177054338631</v>
      </c>
      <c r="I177" s="61">
        <f t="shared" si="24"/>
        <v>128.55790843487517</v>
      </c>
      <c r="J177" s="34">
        <f t="shared" si="21"/>
        <v>0.32627815619855993</v>
      </c>
    </row>
    <row r="178" spans="2:10" x14ac:dyDescent="0.25">
      <c r="B178" s="62" t="s">
        <v>247</v>
      </c>
      <c r="C178" s="62">
        <v>82073.537499999991</v>
      </c>
      <c r="D178" s="62">
        <v>109.02</v>
      </c>
      <c r="E178" s="62">
        <v>102.09</v>
      </c>
      <c r="F178" s="63" t="s">
        <v>247</v>
      </c>
      <c r="G178" s="63">
        <f t="shared" si="22"/>
        <v>185.0094740852783</v>
      </c>
      <c r="H178" s="63">
        <f t="shared" si="23"/>
        <v>131.9375529468717</v>
      </c>
      <c r="I178" s="63">
        <f t="shared" si="24"/>
        <v>120.7736898142671</v>
      </c>
      <c r="J178" s="64">
        <f t="shared" si="21"/>
        <v>0.40225030670212192</v>
      </c>
    </row>
    <row r="179" spans="2:10" x14ac:dyDescent="0.25">
      <c r="B179" t="s">
        <v>246</v>
      </c>
      <c r="C179">
        <v>78427.930000000008</v>
      </c>
      <c r="D179">
        <v>105.76</v>
      </c>
      <c r="E179">
        <v>94.56</v>
      </c>
      <c r="F179" s="61" t="s">
        <v>246</v>
      </c>
      <c r="G179" s="61">
        <f t="shared" si="22"/>
        <v>176.79157649196031</v>
      </c>
      <c r="H179" s="61">
        <f t="shared" si="23"/>
        <v>127.99225462906946</v>
      </c>
      <c r="I179" s="61">
        <f t="shared" si="24"/>
        <v>111.8656098426594</v>
      </c>
      <c r="J179" s="34">
        <f t="shared" si="21"/>
        <v>0.38126777283761992</v>
      </c>
    </row>
    <row r="180" spans="2:10" x14ac:dyDescent="0.25">
      <c r="B180" t="s">
        <v>245</v>
      </c>
      <c r="C180">
        <v>79031.934999999998</v>
      </c>
      <c r="D180">
        <v>108.91</v>
      </c>
      <c r="E180">
        <v>93.61</v>
      </c>
      <c r="F180" s="61" t="s">
        <v>245</v>
      </c>
      <c r="G180" s="61">
        <f t="shared" si="22"/>
        <v>178.15311945451239</v>
      </c>
      <c r="H180" s="61">
        <f t="shared" si="23"/>
        <v>131.80442938400108</v>
      </c>
      <c r="I180" s="61">
        <f t="shared" si="24"/>
        <v>110.74174849165976</v>
      </c>
      <c r="J180" s="34">
        <f t="shared" si="21"/>
        <v>0.35164743921828534</v>
      </c>
    </row>
    <row r="181" spans="2:10" x14ac:dyDescent="0.25">
      <c r="B181" t="s">
        <v>244</v>
      </c>
      <c r="C181">
        <v>81109.532500000001</v>
      </c>
      <c r="D181">
        <v>106.44</v>
      </c>
      <c r="E181">
        <v>95.14</v>
      </c>
      <c r="F181" s="61" t="s">
        <v>244</v>
      </c>
      <c r="G181" s="61">
        <f t="shared" si="22"/>
        <v>182.83642216747134</v>
      </c>
      <c r="H181" s="61">
        <f t="shared" si="23"/>
        <v>128.81520029045154</v>
      </c>
      <c r="I181" s="61">
        <f t="shared" si="24"/>
        <v>112.55175677274343</v>
      </c>
      <c r="J181" s="34">
        <f t="shared" si="21"/>
        <v>0.41936993270369616</v>
      </c>
    </row>
    <row r="182" spans="2:10" x14ac:dyDescent="0.25">
      <c r="B182" t="s">
        <v>243</v>
      </c>
      <c r="C182">
        <v>78878.304999999993</v>
      </c>
      <c r="D182">
        <v>110.18</v>
      </c>
      <c r="E182">
        <v>96.44</v>
      </c>
      <c r="F182" s="61" t="s">
        <v>243</v>
      </c>
      <c r="G182" s="61">
        <f t="shared" si="22"/>
        <v>177.80680800785734</v>
      </c>
      <c r="H182" s="61">
        <f t="shared" si="23"/>
        <v>133.3414014280529</v>
      </c>
      <c r="I182" s="61">
        <f t="shared" si="24"/>
        <v>114.08967230569031</v>
      </c>
      <c r="J182" s="34">
        <f t="shared" si="21"/>
        <v>0.33347037081949882</v>
      </c>
    </row>
    <row r="183" spans="2:10" x14ac:dyDescent="0.25">
      <c r="B183" t="s">
        <v>242</v>
      </c>
      <c r="C183">
        <v>79712.862500000003</v>
      </c>
      <c r="D183">
        <v>108.27</v>
      </c>
      <c r="E183">
        <v>105.34</v>
      </c>
      <c r="F183" s="61" t="s">
        <v>242</v>
      </c>
      <c r="G183" s="61">
        <f t="shared" si="22"/>
        <v>179.68806046598274</v>
      </c>
      <c r="H183" s="61">
        <f t="shared" si="23"/>
        <v>131.02989229093561</v>
      </c>
      <c r="I183" s="61">
        <f t="shared" si="24"/>
        <v>124.6184786466344</v>
      </c>
      <c r="J183" s="34">
        <f t="shared" si="21"/>
        <v>0.37135166124541819</v>
      </c>
    </row>
    <row r="184" spans="2:10" x14ac:dyDescent="0.25">
      <c r="B184" t="s">
        <v>241</v>
      </c>
      <c r="C184">
        <v>76610.862500000003</v>
      </c>
      <c r="D184">
        <v>105.83</v>
      </c>
      <c r="E184">
        <v>99.69</v>
      </c>
      <c r="F184" s="61" t="s">
        <v>241</v>
      </c>
      <c r="G184" s="61">
        <f t="shared" si="22"/>
        <v>172.69555830153618</v>
      </c>
      <c r="H184" s="61">
        <f t="shared" si="23"/>
        <v>128.07696962362348</v>
      </c>
      <c r="I184" s="61">
        <f t="shared" si="24"/>
        <v>117.93446113805754</v>
      </c>
      <c r="J184" s="34">
        <f t="shared" si="21"/>
        <v>0.34837323844429013</v>
      </c>
    </row>
    <row r="185" spans="2:10" x14ac:dyDescent="0.25">
      <c r="B185" t="s">
        <v>240</v>
      </c>
      <c r="C185">
        <v>75796.827499999999</v>
      </c>
      <c r="D185">
        <v>108.19</v>
      </c>
      <c r="E185">
        <v>99.69</v>
      </c>
      <c r="F185" s="61" t="s">
        <v>240</v>
      </c>
      <c r="G185" s="61">
        <f t="shared" si="22"/>
        <v>170.86056748933913</v>
      </c>
      <c r="H185" s="61">
        <f t="shared" si="23"/>
        <v>130.93307515430243</v>
      </c>
      <c r="I185" s="61">
        <f t="shared" si="24"/>
        <v>117.93446113805754</v>
      </c>
      <c r="J185" s="34">
        <f t="shared" si="21"/>
        <v>0.30494580752787503</v>
      </c>
    </row>
    <row r="186" spans="2:10" x14ac:dyDescent="0.25">
      <c r="B186" t="s">
        <v>239</v>
      </c>
      <c r="C186">
        <v>74401.777499999997</v>
      </c>
      <c r="D186">
        <v>109.21</v>
      </c>
      <c r="E186">
        <v>103.07</v>
      </c>
      <c r="F186" s="61" t="s">
        <v>239</v>
      </c>
      <c r="G186" s="61">
        <f t="shared" si="22"/>
        <v>167.71585757814921</v>
      </c>
      <c r="H186" s="61">
        <f t="shared" si="23"/>
        <v>132.16749364637553</v>
      </c>
      <c r="I186" s="61">
        <f t="shared" si="24"/>
        <v>121.93304152371944</v>
      </c>
      <c r="J186" s="34">
        <f t="shared" si="21"/>
        <v>0.26896450065767397</v>
      </c>
    </row>
    <row r="187" spans="2:10" x14ac:dyDescent="0.25">
      <c r="B187" t="s">
        <v>237</v>
      </c>
      <c r="C187">
        <v>74794.070000000007</v>
      </c>
      <c r="D187">
        <v>107.65</v>
      </c>
      <c r="E187">
        <v>106.06</v>
      </c>
      <c r="F187" s="61" t="s">
        <v>237</v>
      </c>
      <c r="G187" s="61">
        <f t="shared" si="22"/>
        <v>168.60016001378631</v>
      </c>
      <c r="H187" s="61">
        <f t="shared" si="23"/>
        <v>130.27955948202845</v>
      </c>
      <c r="I187" s="61">
        <f t="shared" si="24"/>
        <v>125.47024724949728</v>
      </c>
      <c r="J187" s="34">
        <f t="shared" si="21"/>
        <v>0.29414131183828607</v>
      </c>
    </row>
    <row r="188" spans="2:10" x14ac:dyDescent="0.25">
      <c r="B188" t="s">
        <v>236</v>
      </c>
      <c r="C188">
        <v>74690.464999999997</v>
      </c>
      <c r="D188">
        <v>104.02</v>
      </c>
      <c r="E188">
        <v>97.86</v>
      </c>
      <c r="F188" s="61" t="s">
        <v>236</v>
      </c>
      <c r="G188" s="61">
        <f t="shared" si="22"/>
        <v>168.36661449903855</v>
      </c>
      <c r="H188" s="61">
        <f t="shared" si="23"/>
        <v>125.88648190729771</v>
      </c>
      <c r="I188" s="61">
        <f t="shared" si="24"/>
        <v>115.7695492724477</v>
      </c>
      <c r="J188" s="34">
        <f t="shared" si="21"/>
        <v>0.33744792886517416</v>
      </c>
    </row>
    <row r="189" spans="2:10" x14ac:dyDescent="0.25">
      <c r="B189" t="s">
        <v>235</v>
      </c>
      <c r="C189">
        <v>74248.494999999995</v>
      </c>
      <c r="D189">
        <v>99.53</v>
      </c>
      <c r="E189">
        <v>92.92</v>
      </c>
      <c r="F189" s="61" t="s">
        <v>235</v>
      </c>
      <c r="G189" s="61">
        <f t="shared" si="22"/>
        <v>167.37032946305516</v>
      </c>
      <c r="H189" s="61">
        <f t="shared" si="23"/>
        <v>120.45262011376026</v>
      </c>
      <c r="I189" s="61">
        <f t="shared" si="24"/>
        <v>109.92547024724955</v>
      </c>
      <c r="J189" s="34">
        <f t="shared" si="21"/>
        <v>0.38951173751956536</v>
      </c>
    </row>
    <row r="190" spans="2:10" x14ac:dyDescent="0.25">
      <c r="B190" t="s">
        <v>234</v>
      </c>
      <c r="C190">
        <v>72071.149999999994</v>
      </c>
      <c r="D190">
        <v>90.9</v>
      </c>
      <c r="E190">
        <v>90.74</v>
      </c>
      <c r="F190" s="61" t="s">
        <v>234</v>
      </c>
      <c r="G190" s="61">
        <f t="shared" si="22"/>
        <v>162.46217677922314</v>
      </c>
      <c r="H190" s="61">
        <f t="shared" si="23"/>
        <v>110.00847149945552</v>
      </c>
      <c r="I190" s="61">
        <f t="shared" si="24"/>
        <v>107.34650419969246</v>
      </c>
      <c r="J190" s="34">
        <f t="shared" si="21"/>
        <v>0.47681514491388266</v>
      </c>
    </row>
    <row r="191" spans="2:10" x14ac:dyDescent="0.25">
      <c r="B191" t="s">
        <v>233</v>
      </c>
      <c r="C191">
        <v>66899.797500000001</v>
      </c>
      <c r="D191">
        <v>83.2</v>
      </c>
      <c r="E191">
        <v>78.77</v>
      </c>
      <c r="F191" s="61" t="s">
        <v>233</v>
      </c>
      <c r="G191" s="61">
        <f t="shared" si="22"/>
        <v>150.80495771108457</v>
      </c>
      <c r="H191" s="61">
        <f t="shared" si="23"/>
        <v>100.68982209851153</v>
      </c>
      <c r="I191" s="61">
        <f t="shared" si="24"/>
        <v>93.185851177096907</v>
      </c>
      <c r="J191" s="34">
        <f t="shared" si="21"/>
        <v>0.49771798745996465</v>
      </c>
    </row>
    <row r="192" spans="2:10" x14ac:dyDescent="0.25">
      <c r="B192" s="62" t="s">
        <v>232</v>
      </c>
      <c r="C192" s="62">
        <v>64145</v>
      </c>
      <c r="D192" s="62">
        <v>68</v>
      </c>
      <c r="E192" s="62">
        <v>68.98</v>
      </c>
      <c r="F192" s="63" t="s">
        <v>232</v>
      </c>
      <c r="G192" s="63">
        <f t="shared" si="22"/>
        <v>144.5951164856294</v>
      </c>
      <c r="H192" s="63">
        <f t="shared" si="23"/>
        <v>82.294566138206534</v>
      </c>
      <c r="I192" s="63">
        <f t="shared" si="24"/>
        <v>81.60416420205847</v>
      </c>
      <c r="J192" s="64">
        <f t="shared" si="21"/>
        <v>0.75704330517758045</v>
      </c>
    </row>
    <row r="193" spans="2:10" x14ac:dyDescent="0.25">
      <c r="B193" t="s">
        <v>231</v>
      </c>
      <c r="C193">
        <v>56316.75</v>
      </c>
      <c r="D193">
        <v>49.43</v>
      </c>
      <c r="E193">
        <v>53.45</v>
      </c>
      <c r="F193" s="61" t="s">
        <v>231</v>
      </c>
      <c r="G193" s="61">
        <f t="shared" si="22"/>
        <v>126.94874154403414</v>
      </c>
      <c r="H193" s="61">
        <f t="shared" si="23"/>
        <v>59.82088829722867</v>
      </c>
      <c r="I193" s="61">
        <f t="shared" si="24"/>
        <v>63.231988643085323</v>
      </c>
      <c r="J193" s="34">
        <f t="shared" si="21"/>
        <v>1.1221473829220168</v>
      </c>
    </row>
    <row r="194" spans="2:10" x14ac:dyDescent="0.25">
      <c r="B194" t="s">
        <v>230</v>
      </c>
      <c r="C194">
        <v>50207.86</v>
      </c>
      <c r="D194">
        <v>57</v>
      </c>
      <c r="E194">
        <v>49.25</v>
      </c>
      <c r="F194" s="61" t="s">
        <v>230</v>
      </c>
      <c r="G194" s="61">
        <f t="shared" si="22"/>
        <v>113.17813337273634</v>
      </c>
      <c r="H194" s="61">
        <f t="shared" si="23"/>
        <v>68.982209851143722</v>
      </c>
      <c r="I194" s="61">
        <f t="shared" si="24"/>
        <v>58.263338459718476</v>
      </c>
      <c r="J194" s="34">
        <f t="shared" si="21"/>
        <v>0.64068581764722699</v>
      </c>
    </row>
    <row r="195" spans="2:10" x14ac:dyDescent="0.25">
      <c r="B195" t="s">
        <v>229</v>
      </c>
      <c r="C195">
        <v>54223</v>
      </c>
      <c r="D195">
        <v>59.15</v>
      </c>
      <c r="E195">
        <v>49.59</v>
      </c>
      <c r="F195" s="61" t="s">
        <v>229</v>
      </c>
      <c r="G195" s="61">
        <f t="shared" si="22"/>
        <v>122.22902800218698</v>
      </c>
      <c r="H195" s="61">
        <f t="shared" si="23"/>
        <v>71.584170398160552</v>
      </c>
      <c r="I195" s="61">
        <f t="shared" si="24"/>
        <v>58.665562522181531</v>
      </c>
      <c r="J195" s="34">
        <f t="shared" si="21"/>
        <v>0.70748682735768376</v>
      </c>
    </row>
    <row r="196" spans="2:10" x14ac:dyDescent="0.25">
      <c r="B196" t="s">
        <v>228</v>
      </c>
      <c r="C196">
        <v>53280.5</v>
      </c>
      <c r="D196">
        <v>57.55</v>
      </c>
      <c r="E196">
        <v>50.12</v>
      </c>
      <c r="F196" s="61" t="s">
        <v>228</v>
      </c>
      <c r="G196" s="61">
        <f t="shared" si="22"/>
        <v>120.10445247349877</v>
      </c>
      <c r="H196" s="61">
        <f t="shared" si="23"/>
        <v>69.647827665496862</v>
      </c>
      <c r="I196" s="61">
        <f t="shared" si="24"/>
        <v>59.292558854844465</v>
      </c>
      <c r="J196" s="34">
        <f t="shared" si="21"/>
        <v>0.72445367643530734</v>
      </c>
    </row>
    <row r="197" spans="2:10" x14ac:dyDescent="0.25">
      <c r="B197" t="s">
        <v>227</v>
      </c>
      <c r="C197">
        <v>53589.182500000003</v>
      </c>
      <c r="D197">
        <v>64.930000000000007</v>
      </c>
      <c r="E197">
        <v>59.1</v>
      </c>
      <c r="F197" s="61" t="s">
        <v>227</v>
      </c>
      <c r="G197" s="61">
        <f t="shared" si="22"/>
        <v>120.80028195427785</v>
      </c>
      <c r="H197" s="61">
        <f t="shared" si="23"/>
        <v>78.579208519908093</v>
      </c>
      <c r="I197" s="61">
        <f t="shared" si="24"/>
        <v>69.91600615166216</v>
      </c>
      <c r="J197" s="34">
        <f t="shared" si="21"/>
        <v>0.53730591373509462</v>
      </c>
    </row>
    <row r="198" spans="2:10" x14ac:dyDescent="0.25">
      <c r="B198" t="s">
        <v>226</v>
      </c>
      <c r="C198">
        <v>57433.275000000001</v>
      </c>
      <c r="D198">
        <v>60.36</v>
      </c>
      <c r="E198">
        <v>60.24</v>
      </c>
      <c r="F198" s="61" t="s">
        <v>226</v>
      </c>
      <c r="G198" s="61">
        <f t="shared" si="22"/>
        <v>129.46560275588413</v>
      </c>
      <c r="H198" s="61">
        <f t="shared" si="23"/>
        <v>73.048529589737456</v>
      </c>
      <c r="I198" s="61">
        <f t="shared" si="24"/>
        <v>71.264639772861713</v>
      </c>
      <c r="J198" s="34">
        <f t="shared" si="21"/>
        <v>0.7723231868321232</v>
      </c>
    </row>
    <row r="199" spans="2:10" x14ac:dyDescent="0.25">
      <c r="B199" t="s">
        <v>225</v>
      </c>
      <c r="C199">
        <v>55291.01</v>
      </c>
      <c r="D199">
        <v>54.72</v>
      </c>
      <c r="E199">
        <v>56.94</v>
      </c>
      <c r="F199" s="61" t="s">
        <v>225</v>
      </c>
      <c r="G199" s="61">
        <f t="shared" si="22"/>
        <v>124.63652711135865</v>
      </c>
      <c r="H199" s="61">
        <f t="shared" si="23"/>
        <v>66.222921457097968</v>
      </c>
      <c r="I199" s="61">
        <f t="shared" si="24"/>
        <v>67.360700343073461</v>
      </c>
      <c r="J199" s="34">
        <f t="shared" si="21"/>
        <v>0.8820753353822286</v>
      </c>
    </row>
    <row r="200" spans="2:10" x14ac:dyDescent="0.25">
      <c r="B200" t="s">
        <v>224</v>
      </c>
      <c r="C200">
        <v>50204.425000000003</v>
      </c>
      <c r="D200">
        <v>47.54</v>
      </c>
      <c r="E200">
        <v>45.25</v>
      </c>
      <c r="F200" s="61" t="s">
        <v>224</v>
      </c>
      <c r="G200" s="61">
        <f t="shared" si="22"/>
        <v>113.17039022478831</v>
      </c>
      <c r="H200" s="61">
        <f t="shared" si="23"/>
        <v>57.533583444269695</v>
      </c>
      <c r="I200" s="61">
        <f t="shared" si="24"/>
        <v>53.531290666035737</v>
      </c>
      <c r="J200" s="34">
        <f t="shared" si="21"/>
        <v>0.9670318351439311</v>
      </c>
    </row>
    <row r="201" spans="2:10" x14ac:dyDescent="0.25">
      <c r="B201" t="s">
        <v>223</v>
      </c>
      <c r="C201">
        <v>44388.057500000003</v>
      </c>
      <c r="D201">
        <v>46.42</v>
      </c>
      <c r="E201">
        <v>45.38</v>
      </c>
      <c r="F201" s="61" t="s">
        <v>223</v>
      </c>
      <c r="G201" s="61">
        <f t="shared" ref="G201:G228" si="25">(1+(C201/C200)-1)*G200</f>
        <v>100.05918379894484</v>
      </c>
      <c r="H201" s="61">
        <f t="shared" ref="H201:H228" si="26">(1+(D201/D200)-1)*H200</f>
        <v>56.178143531405112</v>
      </c>
      <c r="I201" s="61">
        <f t="shared" ref="I201:I228" si="27">(1+(E201/E200)-1)*I200</f>
        <v>53.68508221933044</v>
      </c>
      <c r="J201" s="34">
        <f t="shared" ref="J201:J228" si="28">G201/H201-1</f>
        <v>0.78110520407298667</v>
      </c>
    </row>
    <row r="202" spans="2:10" x14ac:dyDescent="0.25">
      <c r="B202" t="s">
        <v>222</v>
      </c>
      <c r="C202">
        <v>46716.474999999999</v>
      </c>
      <c r="D202">
        <v>51.66</v>
      </c>
      <c r="E202">
        <v>44.75</v>
      </c>
      <c r="F202" s="61" t="s">
        <v>222</v>
      </c>
      <c r="G202" s="61">
        <f t="shared" si="25"/>
        <v>105.30788283456224</v>
      </c>
      <c r="H202" s="61">
        <f t="shared" si="26"/>
        <v>62.519665980878663</v>
      </c>
      <c r="I202" s="61">
        <f t="shared" si="27"/>
        <v>52.939784691825416</v>
      </c>
      <c r="J202" s="34">
        <f t="shared" si="28"/>
        <v>0.684396120522623</v>
      </c>
    </row>
    <row r="203" spans="2:10" x14ac:dyDescent="0.25">
      <c r="B203" t="s">
        <v>221</v>
      </c>
      <c r="C203">
        <v>46493.61</v>
      </c>
      <c r="D203">
        <v>46.09</v>
      </c>
      <c r="E203">
        <v>46.12</v>
      </c>
      <c r="F203" s="61" t="s">
        <v>221</v>
      </c>
      <c r="G203" s="61">
        <f t="shared" si="25"/>
        <v>104.80550243647087</v>
      </c>
      <c r="H203" s="61">
        <f t="shared" si="26"/>
        <v>55.778772842793217</v>
      </c>
      <c r="I203" s="61">
        <f t="shared" si="27"/>
        <v>54.560511061161755</v>
      </c>
      <c r="J203" s="34">
        <f t="shared" si="28"/>
        <v>0.87894959130518147</v>
      </c>
    </row>
    <row r="204" spans="2:10" x14ac:dyDescent="0.25">
      <c r="B204" s="62" t="s">
        <v>219</v>
      </c>
      <c r="C204" s="62">
        <v>46406.119999999995</v>
      </c>
      <c r="D204" s="62">
        <v>39.69</v>
      </c>
      <c r="E204" s="62">
        <v>40.58</v>
      </c>
      <c r="F204" s="63" t="s">
        <v>219</v>
      </c>
      <c r="G204" s="63">
        <f t="shared" si="25"/>
        <v>104.6082832184285</v>
      </c>
      <c r="H204" s="63">
        <f t="shared" si="26"/>
        <v>48.03340191213848</v>
      </c>
      <c r="I204" s="63">
        <f t="shared" si="27"/>
        <v>48.006624866911189</v>
      </c>
      <c r="J204" s="64">
        <f t="shared" si="28"/>
        <v>1.177823744605377</v>
      </c>
    </row>
    <row r="205" spans="2:10" x14ac:dyDescent="0.25">
      <c r="B205" t="s">
        <v>218</v>
      </c>
      <c r="C205">
        <v>41922.229999999996</v>
      </c>
      <c r="D205">
        <v>33.57</v>
      </c>
      <c r="E205">
        <v>37.130000000000003</v>
      </c>
      <c r="F205" s="61" t="s">
        <v>218</v>
      </c>
      <c r="G205" s="61">
        <f t="shared" si="25"/>
        <v>94.500736303489688</v>
      </c>
      <c r="H205" s="61">
        <f t="shared" si="26"/>
        <v>40.626890959699892</v>
      </c>
      <c r="I205" s="61">
        <f t="shared" si="27"/>
        <v>43.925233644859851</v>
      </c>
      <c r="J205" s="34">
        <f t="shared" si="28"/>
        <v>1.3260636999575062</v>
      </c>
    </row>
    <row r="206" spans="2:10" x14ac:dyDescent="0.25">
      <c r="B206" t="s">
        <v>217</v>
      </c>
      <c r="C206">
        <v>37121.792499999996</v>
      </c>
      <c r="D206">
        <v>32.76</v>
      </c>
      <c r="E206">
        <v>31.62</v>
      </c>
      <c r="F206" s="61" t="s">
        <v>217</v>
      </c>
      <c r="G206" s="61">
        <f t="shared" si="25"/>
        <v>83.679630691291038</v>
      </c>
      <c r="H206" s="61">
        <f t="shared" si="26"/>
        <v>39.646617451288904</v>
      </c>
      <c r="I206" s="61">
        <f t="shared" si="27"/>
        <v>37.406837809061905</v>
      </c>
      <c r="J206" s="34">
        <f t="shared" si="28"/>
        <v>1.1106373272348518</v>
      </c>
    </row>
    <row r="207" spans="2:10" x14ac:dyDescent="0.25">
      <c r="B207" t="s">
        <v>216</v>
      </c>
      <c r="C207">
        <v>41439.264999999999</v>
      </c>
      <c r="D207">
        <v>37.61</v>
      </c>
      <c r="E207">
        <v>34.39</v>
      </c>
      <c r="F207" s="61" t="s">
        <v>216</v>
      </c>
      <c r="G207" s="61">
        <f t="shared" si="25"/>
        <v>93.412040685226671</v>
      </c>
      <c r="H207" s="61">
        <f t="shared" si="26"/>
        <v>45.516156359675705</v>
      </c>
      <c r="I207" s="61">
        <f t="shared" si="27"/>
        <v>40.683780906187195</v>
      </c>
      <c r="J207" s="34">
        <f t="shared" si="28"/>
        <v>1.0522831485828963</v>
      </c>
    </row>
    <row r="208" spans="2:10" x14ac:dyDescent="0.25">
      <c r="B208" t="s">
        <v>214</v>
      </c>
      <c r="C208">
        <v>43960.289999999994</v>
      </c>
      <c r="D208">
        <v>37.770000000000003</v>
      </c>
      <c r="E208">
        <v>35.36</v>
      </c>
      <c r="F208" s="61" t="s">
        <v>214</v>
      </c>
      <c r="G208" s="61">
        <f t="shared" si="25"/>
        <v>99.094913918342016</v>
      </c>
      <c r="H208" s="61">
        <f t="shared" si="26"/>
        <v>45.709790632942088</v>
      </c>
      <c r="I208" s="61">
        <f t="shared" si="27"/>
        <v>41.831302496155253</v>
      </c>
      <c r="J208" s="34">
        <f t="shared" si="28"/>
        <v>1.1679144127806698</v>
      </c>
    </row>
    <row r="209" spans="2:10" x14ac:dyDescent="0.25">
      <c r="B209" t="s">
        <v>211</v>
      </c>
      <c r="C209">
        <v>44362.042500000003</v>
      </c>
      <c r="D209">
        <v>44.39</v>
      </c>
      <c r="E209">
        <v>44.75</v>
      </c>
      <c r="F209" s="61" t="s">
        <v>211</v>
      </c>
      <c r="G209" s="61">
        <f t="shared" si="25"/>
        <v>100.00054100596995</v>
      </c>
      <c r="H209" s="61">
        <f t="shared" si="26"/>
        <v>53.721408689338062</v>
      </c>
      <c r="I209" s="61">
        <f t="shared" si="27"/>
        <v>52.93978469182543</v>
      </c>
      <c r="J209" s="34">
        <f t="shared" si="28"/>
        <v>0.86146535330553942</v>
      </c>
    </row>
    <row r="210" spans="2:10" x14ac:dyDescent="0.25">
      <c r="B210" t="s">
        <v>210</v>
      </c>
      <c r="C210">
        <v>48331.797500000008</v>
      </c>
      <c r="D210">
        <v>48.94</v>
      </c>
      <c r="E210">
        <v>49.07</v>
      </c>
      <c r="F210" s="61" t="s">
        <v>210</v>
      </c>
      <c r="G210" s="61">
        <f t="shared" si="25"/>
        <v>108.94912915226989</v>
      </c>
      <c r="H210" s="61">
        <f t="shared" si="26"/>
        <v>59.227883335350413</v>
      </c>
      <c r="I210" s="61">
        <f t="shared" si="27"/>
        <v>58.050396309002771</v>
      </c>
      <c r="J210" s="34">
        <f t="shared" si="28"/>
        <v>0.83949050712138384</v>
      </c>
    </row>
    <row r="211" spans="2:10" x14ac:dyDescent="0.25">
      <c r="B211" t="s">
        <v>209</v>
      </c>
      <c r="C211">
        <v>50958.697500000002</v>
      </c>
      <c r="D211">
        <v>45.7</v>
      </c>
      <c r="E211">
        <v>49.02</v>
      </c>
      <c r="F211" s="61" t="s">
        <v>209</v>
      </c>
      <c r="G211" s="61">
        <f t="shared" si="25"/>
        <v>114.87066491493415</v>
      </c>
      <c r="H211" s="61">
        <f t="shared" si="26"/>
        <v>55.306789301706466</v>
      </c>
      <c r="I211" s="61">
        <f t="shared" si="27"/>
        <v>57.991245711581733</v>
      </c>
      <c r="J211" s="34">
        <f t="shared" si="28"/>
        <v>1.0769722192387303</v>
      </c>
    </row>
    <row r="212" spans="2:10" x14ac:dyDescent="0.25">
      <c r="B212" t="s">
        <v>208</v>
      </c>
      <c r="C212">
        <v>48882.4375</v>
      </c>
      <c r="D212">
        <v>40.450000000000003</v>
      </c>
      <c r="E212">
        <v>40.049999999999997</v>
      </c>
      <c r="F212" s="61" t="s">
        <v>208</v>
      </c>
      <c r="G212" s="61">
        <f t="shared" si="25"/>
        <v>110.19037718316312</v>
      </c>
      <c r="H212" s="61">
        <f t="shared" si="26"/>
        <v>48.95316471015375</v>
      </c>
      <c r="I212" s="61">
        <f t="shared" si="27"/>
        <v>47.379628534248226</v>
      </c>
      <c r="J212" s="34">
        <f t="shared" si="28"/>
        <v>1.250934701271881</v>
      </c>
    </row>
    <row r="213" spans="2:10" x14ac:dyDescent="0.25">
      <c r="B213" t="s">
        <v>207</v>
      </c>
      <c r="C213">
        <v>47050.97</v>
      </c>
      <c r="D213">
        <v>46.72</v>
      </c>
      <c r="E213">
        <v>43.17</v>
      </c>
      <c r="F213" s="61" t="s">
        <v>207</v>
      </c>
      <c r="G213" s="61">
        <f t="shared" si="25"/>
        <v>106.06189863452887</v>
      </c>
      <c r="H213" s="61">
        <f t="shared" si="26"/>
        <v>56.541207793779563</v>
      </c>
      <c r="I213" s="61">
        <f t="shared" si="27"/>
        <v>51.070625813320746</v>
      </c>
      <c r="J213" s="34">
        <f t="shared" si="28"/>
        <v>0.87583362246813157</v>
      </c>
    </row>
    <row r="214" spans="2:10" x14ac:dyDescent="0.25">
      <c r="B214" t="s">
        <v>206</v>
      </c>
      <c r="C214">
        <v>48442.307499999995</v>
      </c>
      <c r="D214">
        <v>49.57</v>
      </c>
      <c r="E214">
        <v>48.8</v>
      </c>
      <c r="F214" s="61" t="s">
        <v>206</v>
      </c>
      <c r="G214" s="61">
        <f t="shared" si="25"/>
        <v>109.19823985961774</v>
      </c>
      <c r="H214" s="61">
        <f t="shared" si="26"/>
        <v>59.990318286336752</v>
      </c>
      <c r="I214" s="61">
        <f t="shared" si="27"/>
        <v>57.730983082929171</v>
      </c>
      <c r="J214" s="34">
        <f t="shared" si="28"/>
        <v>0.82026438563651483</v>
      </c>
    </row>
    <row r="215" spans="2:10" x14ac:dyDescent="0.25">
      <c r="B215" t="s">
        <v>205</v>
      </c>
      <c r="C215">
        <v>51901.202499999999</v>
      </c>
      <c r="D215">
        <v>43.06</v>
      </c>
      <c r="E215">
        <v>46.66</v>
      </c>
      <c r="F215" s="61" t="s">
        <v>205</v>
      </c>
      <c r="G215" s="61">
        <f t="shared" si="25"/>
        <v>116.99525171458016</v>
      </c>
      <c r="H215" s="61">
        <f t="shared" si="26"/>
        <v>52.1118237928114</v>
      </c>
      <c r="I215" s="61">
        <f t="shared" si="27"/>
        <v>55.199337513308912</v>
      </c>
      <c r="J215" s="34">
        <f t="shared" si="28"/>
        <v>1.2450807359906517</v>
      </c>
    </row>
    <row r="216" spans="2:10" x14ac:dyDescent="0.25">
      <c r="B216" t="s">
        <v>204</v>
      </c>
      <c r="C216">
        <v>49998.025000000001</v>
      </c>
      <c r="D216">
        <v>52.31</v>
      </c>
      <c r="E216">
        <v>51.08</v>
      </c>
      <c r="F216" s="61" t="s">
        <v>204</v>
      </c>
      <c r="G216" s="61">
        <f t="shared" si="25"/>
        <v>112.70512509044222</v>
      </c>
      <c r="H216" s="61">
        <f t="shared" si="26"/>
        <v>63.306305216023311</v>
      </c>
      <c r="I216" s="61">
        <f t="shared" si="27"/>
        <v>60.428250325328307</v>
      </c>
      <c r="J216" s="34">
        <f t="shared" si="28"/>
        <v>0.78031437320268204</v>
      </c>
    </row>
    <row r="217" spans="2:10" x14ac:dyDescent="0.25">
      <c r="B217" t="s">
        <v>203</v>
      </c>
      <c r="C217">
        <v>54213.917499999996</v>
      </c>
      <c r="D217">
        <v>55.9</v>
      </c>
      <c r="E217">
        <v>52.36</v>
      </c>
      <c r="F217" s="61" t="s">
        <v>203</v>
      </c>
      <c r="G217" s="61">
        <f t="shared" si="25"/>
        <v>122.20855430750346</v>
      </c>
      <c r="H217" s="61">
        <f t="shared" si="26"/>
        <v>67.650974222437455</v>
      </c>
      <c r="I217" s="61">
        <f t="shared" si="27"/>
        <v>61.942505619306772</v>
      </c>
      <c r="J217" s="34">
        <f t="shared" si="28"/>
        <v>0.80645668021985673</v>
      </c>
    </row>
    <row r="218" spans="2:10" x14ac:dyDescent="0.25">
      <c r="B218" t="s">
        <v>202</v>
      </c>
      <c r="C218">
        <v>55817.392500000002</v>
      </c>
      <c r="D218">
        <v>55.92</v>
      </c>
      <c r="E218">
        <v>53.9</v>
      </c>
      <c r="F218" s="61" t="s">
        <v>202</v>
      </c>
      <c r="G218" s="61">
        <f t="shared" si="25"/>
        <v>125.82309409091287</v>
      </c>
      <c r="H218" s="61">
        <f t="shared" si="26"/>
        <v>67.675178506595771</v>
      </c>
      <c r="I218" s="61">
        <f t="shared" si="27"/>
        <v>63.764344019874613</v>
      </c>
      <c r="J218" s="34">
        <f t="shared" si="28"/>
        <v>0.85922071973034964</v>
      </c>
    </row>
    <row r="219" spans="2:10" x14ac:dyDescent="0.25">
      <c r="B219" t="s">
        <v>201</v>
      </c>
      <c r="C219">
        <v>56104.899999999994</v>
      </c>
      <c r="D219">
        <v>54.16</v>
      </c>
      <c r="E219">
        <v>53.82</v>
      </c>
      <c r="F219" s="61" t="s">
        <v>201</v>
      </c>
      <c r="G219" s="61">
        <f t="shared" si="25"/>
        <v>126.47119106578221</v>
      </c>
      <c r="H219" s="61">
        <f t="shared" si="26"/>
        <v>65.545201500665712</v>
      </c>
      <c r="I219" s="61">
        <f t="shared" si="27"/>
        <v>63.669703064000963</v>
      </c>
      <c r="J219" s="34">
        <f t="shared" si="28"/>
        <v>0.92952631421077703</v>
      </c>
    </row>
    <row r="220" spans="2:10" x14ac:dyDescent="0.25">
      <c r="B220" t="s">
        <v>200</v>
      </c>
      <c r="C220">
        <v>53242.5</v>
      </c>
      <c r="D220">
        <v>53.08</v>
      </c>
      <c r="E220">
        <v>50.25</v>
      </c>
      <c r="F220" s="61" t="s">
        <v>200</v>
      </c>
      <c r="G220" s="61">
        <f t="shared" si="25"/>
        <v>120.01879319488869</v>
      </c>
      <c r="H220" s="61">
        <f t="shared" si="26"/>
        <v>64.238170156117732</v>
      </c>
      <c r="I220" s="61">
        <f t="shared" si="27"/>
        <v>59.446350408139146</v>
      </c>
      <c r="J220" s="34">
        <f t="shared" si="28"/>
        <v>0.86834078404175519</v>
      </c>
    </row>
    <row r="221" spans="2:10" x14ac:dyDescent="0.25">
      <c r="B221" t="s">
        <v>199</v>
      </c>
      <c r="C221">
        <v>53435.25</v>
      </c>
      <c r="D221">
        <v>49.31</v>
      </c>
      <c r="E221">
        <v>48.83</v>
      </c>
      <c r="F221" s="61" t="s">
        <v>199</v>
      </c>
      <c r="G221" s="61">
        <f t="shared" si="25"/>
        <v>120.45328861468141</v>
      </c>
      <c r="H221" s="61">
        <f t="shared" si="26"/>
        <v>59.675662592278925</v>
      </c>
      <c r="I221" s="61">
        <f t="shared" si="27"/>
        <v>57.766473441381777</v>
      </c>
      <c r="J221" s="34">
        <f t="shared" si="28"/>
        <v>1.018465876745307</v>
      </c>
    </row>
    <row r="222" spans="2:10" x14ac:dyDescent="0.25">
      <c r="B222" t="s">
        <v>198</v>
      </c>
      <c r="C222">
        <v>51442.25</v>
      </c>
      <c r="D222">
        <v>50.41</v>
      </c>
      <c r="E222">
        <v>48.32</v>
      </c>
      <c r="F222" s="61" t="s">
        <v>198</v>
      </c>
      <c r="G222" s="61">
        <f t="shared" si="25"/>
        <v>115.96068487072849</v>
      </c>
      <c r="H222" s="61">
        <f t="shared" si="26"/>
        <v>61.006898220985221</v>
      </c>
      <c r="I222" s="61">
        <f t="shared" si="27"/>
        <v>57.163137347687233</v>
      </c>
      <c r="J222" s="34">
        <f t="shared" si="28"/>
        <v>0.90077988313197332</v>
      </c>
    </row>
    <row r="223" spans="2:10" x14ac:dyDescent="0.25">
      <c r="B223" t="s">
        <v>197</v>
      </c>
      <c r="C223">
        <v>48646.25</v>
      </c>
      <c r="D223">
        <v>49.13</v>
      </c>
      <c r="E223">
        <v>46.02</v>
      </c>
      <c r="F223" s="61" t="s">
        <v>197</v>
      </c>
      <c r="G223" s="61">
        <f t="shared" si="25"/>
        <v>109.65796531824863</v>
      </c>
      <c r="H223" s="61">
        <f t="shared" si="26"/>
        <v>59.457824034854283</v>
      </c>
      <c r="I223" s="61">
        <f t="shared" si="27"/>
        <v>54.442209866319672</v>
      </c>
      <c r="J223" s="34">
        <f t="shared" si="28"/>
        <v>0.84429832571684638</v>
      </c>
    </row>
    <row r="224" spans="2:10" x14ac:dyDescent="0.25">
      <c r="B224" t="s">
        <v>195</v>
      </c>
      <c r="C224">
        <v>50259.333333333336</v>
      </c>
      <c r="D224">
        <v>51.99</v>
      </c>
      <c r="E224">
        <v>49.19</v>
      </c>
      <c r="F224" s="61" t="s">
        <v>195</v>
      </c>
      <c r="G224" s="61">
        <f t="shared" si="25"/>
        <v>113.2941641253943</v>
      </c>
      <c r="H224" s="61">
        <f t="shared" si="26"/>
        <v>62.919036669490616</v>
      </c>
      <c r="I224" s="61">
        <f t="shared" si="27"/>
        <v>58.192357742813236</v>
      </c>
      <c r="J224" s="34">
        <f t="shared" si="28"/>
        <v>0.80063411842302634</v>
      </c>
    </row>
    <row r="225" spans="2:10" x14ac:dyDescent="0.25">
      <c r="B225" t="s">
        <v>194</v>
      </c>
      <c r="C225">
        <v>51639.75</v>
      </c>
      <c r="D225">
        <v>52.69</v>
      </c>
      <c r="E225">
        <v>47.32</v>
      </c>
      <c r="F225" s="61" t="s">
        <v>194</v>
      </c>
      <c r="G225" s="61">
        <f t="shared" si="25"/>
        <v>116.40588770034748</v>
      </c>
      <c r="H225" s="61">
        <f t="shared" si="26"/>
        <v>63.766186615030975</v>
      </c>
      <c r="I225" s="61">
        <f t="shared" si="27"/>
        <v>55.980125399266569</v>
      </c>
      <c r="J225" s="34">
        <f t="shared" si="28"/>
        <v>0.82551119769969539</v>
      </c>
    </row>
    <row r="226" spans="2:10" x14ac:dyDescent="0.25">
      <c r="B226" t="s">
        <v>193</v>
      </c>
      <c r="C226">
        <v>54617.5</v>
      </c>
      <c r="D226">
        <v>58.8</v>
      </c>
      <c r="E226">
        <v>50.59</v>
      </c>
      <c r="F226" s="61" t="s">
        <v>193</v>
      </c>
      <c r="G226" s="61">
        <f t="shared" si="25"/>
        <v>123.11830656565394</v>
      </c>
      <c r="H226" s="61">
        <f t="shared" si="26"/>
        <v>71.160595425390397</v>
      </c>
      <c r="I226" s="61">
        <f t="shared" si="27"/>
        <v>59.848574470602195</v>
      </c>
      <c r="J226" s="34">
        <f t="shared" si="28"/>
        <v>0.73014722304761404</v>
      </c>
    </row>
    <row r="227" spans="2:10" x14ac:dyDescent="0.25">
      <c r="B227" t="s">
        <v>192</v>
      </c>
      <c r="C227">
        <v>55746.25</v>
      </c>
      <c r="D227">
        <v>60.65</v>
      </c>
      <c r="E227">
        <v>54.32</v>
      </c>
      <c r="F227" s="61" t="s">
        <v>192</v>
      </c>
      <c r="G227" s="61">
        <f t="shared" si="25"/>
        <v>125.6627252691095</v>
      </c>
      <c r="H227" s="61">
        <f t="shared" si="26"/>
        <v>73.399491710032777</v>
      </c>
      <c r="I227" s="61">
        <f t="shared" si="27"/>
        <v>64.261209038211305</v>
      </c>
      <c r="J227" s="34">
        <f t="shared" si="28"/>
        <v>0.71203808557073445</v>
      </c>
    </row>
    <row r="228" spans="2:10" x14ac:dyDescent="0.25">
      <c r="B228" t="s">
        <v>191</v>
      </c>
      <c r="C228">
        <v>58985.5</v>
      </c>
      <c r="D228">
        <v>63.56</v>
      </c>
      <c r="E228">
        <v>58.35</v>
      </c>
      <c r="F228" s="61" t="s">
        <v>191</v>
      </c>
      <c r="G228" s="61">
        <f t="shared" si="25"/>
        <v>132.964615222747</v>
      </c>
      <c r="H228" s="61">
        <f t="shared" si="26"/>
        <v>76.921215055064849</v>
      </c>
      <c r="I228" s="61">
        <f t="shared" si="27"/>
        <v>69.02874719034665</v>
      </c>
      <c r="J228" s="34">
        <f t="shared" si="28"/>
        <v>0.72858183698168189</v>
      </c>
    </row>
  </sheetData>
  <autoFilter ref="A1:F37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Assumptions Sheet</vt:lpstr>
      <vt:lpstr>Income statement</vt:lpstr>
      <vt:lpstr>Asset Schedule </vt:lpstr>
      <vt:lpstr>Valuation</vt:lpstr>
      <vt:lpstr>Cost Matrix</vt:lpstr>
      <vt:lpstr>ATF Fuel 2</vt:lpstr>
      <vt:lpstr>Balance sheet</vt:lpstr>
      <vt:lpstr>Revenue Matrix</vt:lpstr>
      <vt:lpstr>Debt schedule</vt:lpstr>
      <vt:lpstr>Incentive</vt:lpstr>
      <vt:lpstr>CashFlow Statement</vt:lpstr>
      <vt:lpstr>ATF fuel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2018-02-09T12:10:58Z</dcterms:modified>
</cp:coreProperties>
</file>