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60" windowWidth="19035" windowHeight="10920"/>
  </bookViews>
  <sheets>
    <sheet name="IS" sheetId="4" r:id="rId1"/>
    <sheet name="BS" sheetId="3" r:id="rId2"/>
    <sheet name="CF" sheetId="6" r:id="rId3"/>
    <sheet name="Dep Capex " sheetId="8" r:id="rId4"/>
    <sheet name="Amort Intangible" sheetId="9" r:id="rId5"/>
    <sheet name="Working Capital" sheetId="7" r:id="rId6"/>
    <sheet name="Other Long Term Asset Liability" sheetId="13" r:id="rId7"/>
    <sheet name="Shareholders Equity" sheetId="10" r:id="rId8"/>
    <sheet name="Shares Outstanding " sheetId="11" r:id="rId9"/>
    <sheet name="Debt" sheetId="12" r:id="rId10"/>
  </sheets>
  <externalReferences>
    <externalReference r:id="rId11"/>
    <externalReference r:id="rId12"/>
  </externalReferences>
  <calcPr calcId="124519"/>
</workbook>
</file>

<file path=xl/calcChain.xml><?xml version="1.0" encoding="utf-8"?>
<calcChain xmlns="http://schemas.openxmlformats.org/spreadsheetml/2006/main">
  <c r="J47" i="6"/>
  <c r="N41"/>
  <c r="M41"/>
  <c r="L41"/>
  <c r="K41"/>
  <c r="J41"/>
  <c r="N40"/>
  <c r="M40"/>
  <c r="L40"/>
  <c r="K40"/>
  <c r="J40"/>
  <c r="N36"/>
  <c r="M36"/>
  <c r="L36"/>
  <c r="K36"/>
  <c r="J36"/>
  <c r="N31"/>
  <c r="K31"/>
  <c r="J31"/>
  <c r="N25"/>
  <c r="M25"/>
  <c r="M31" s="1"/>
  <c r="L25"/>
  <c r="L31" s="1"/>
  <c r="K25"/>
  <c r="J25"/>
  <c r="N21"/>
  <c r="M21"/>
  <c r="L21"/>
  <c r="K21"/>
  <c r="J21"/>
  <c r="N20"/>
  <c r="M20"/>
  <c r="L20"/>
  <c r="K20"/>
  <c r="J20"/>
  <c r="N19"/>
  <c r="M19"/>
  <c r="L19"/>
  <c r="K19"/>
  <c r="J19"/>
  <c r="N18"/>
  <c r="M18"/>
  <c r="L18"/>
  <c r="K18"/>
  <c r="J18"/>
  <c r="N10"/>
  <c r="M10"/>
  <c r="L10"/>
  <c r="K10"/>
  <c r="J10"/>
  <c r="N28" i="3"/>
  <c r="M28"/>
  <c r="L28"/>
  <c r="K28"/>
  <c r="J28"/>
  <c r="I28"/>
  <c r="H28"/>
  <c r="H35" s="1"/>
  <c r="I35"/>
  <c r="N34"/>
  <c r="M34"/>
  <c r="L34"/>
  <c r="K34"/>
  <c r="J34"/>
  <c r="N33"/>
  <c r="M33"/>
  <c r="L33"/>
  <c r="K33"/>
  <c r="J33"/>
  <c r="N32"/>
  <c r="M32"/>
  <c r="L32"/>
  <c r="K32"/>
  <c r="J32"/>
  <c r="N18"/>
  <c r="M18"/>
  <c r="L18"/>
  <c r="K18"/>
  <c r="J18"/>
  <c r="N17"/>
  <c r="M17"/>
  <c r="L17"/>
  <c r="K17"/>
  <c r="J17"/>
  <c r="N16"/>
  <c r="M16"/>
  <c r="L16"/>
  <c r="K16"/>
  <c r="J16"/>
  <c r="K15"/>
  <c r="L15" s="1"/>
  <c r="M15" s="1"/>
  <c r="J15"/>
  <c r="N14"/>
  <c r="M14"/>
  <c r="L14"/>
  <c r="K14"/>
  <c r="J14"/>
  <c r="I62" i="4"/>
  <c r="H62"/>
  <c r="G62"/>
  <c r="F62"/>
  <c r="I61"/>
  <c r="H61"/>
  <c r="G61"/>
  <c r="F61"/>
  <c r="I60"/>
  <c r="H60"/>
  <c r="G60"/>
  <c r="F60"/>
  <c r="I59"/>
  <c r="H59"/>
  <c r="G59"/>
  <c r="F59"/>
  <c r="I58"/>
  <c r="H58"/>
  <c r="G58"/>
  <c r="F58"/>
  <c r="I56"/>
  <c r="H56"/>
  <c r="G56"/>
  <c r="F56"/>
  <c r="I55"/>
  <c r="H55"/>
  <c r="G55"/>
  <c r="F55"/>
  <c r="I54"/>
  <c r="H54"/>
  <c r="G54"/>
  <c r="F54"/>
  <c r="I53"/>
  <c r="H53"/>
  <c r="G53"/>
  <c r="F53"/>
  <c r="I51"/>
  <c r="H51"/>
  <c r="G51"/>
  <c r="F51"/>
  <c r="I50"/>
  <c r="H50"/>
  <c r="G50"/>
  <c r="F50"/>
  <c r="I49"/>
  <c r="H49"/>
  <c r="G49"/>
  <c r="F49"/>
  <c r="J90"/>
  <c r="K87"/>
  <c r="L87" s="1"/>
  <c r="M87" s="1"/>
  <c r="N87" s="1"/>
  <c r="J87"/>
  <c r="L84"/>
  <c r="M84" s="1"/>
  <c r="K84"/>
  <c r="K90" s="1"/>
  <c r="J84"/>
  <c r="M81"/>
  <c r="N81" s="1"/>
  <c r="L81"/>
  <c r="K81"/>
  <c r="J81"/>
  <c r="J78"/>
  <c r="K78" s="1"/>
  <c r="L78" s="1"/>
  <c r="M78" s="1"/>
  <c r="N78" s="1"/>
  <c r="K75"/>
  <c r="L75" s="1"/>
  <c r="M75" s="1"/>
  <c r="N75" s="1"/>
  <c r="J75"/>
  <c r="L72"/>
  <c r="M72" s="1"/>
  <c r="N72" s="1"/>
  <c r="K72"/>
  <c r="J72"/>
  <c r="M69"/>
  <c r="N69" s="1"/>
  <c r="L69"/>
  <c r="K69"/>
  <c r="J69"/>
  <c r="N66"/>
  <c r="M66"/>
  <c r="L66"/>
  <c r="K66"/>
  <c r="J66"/>
  <c r="N56"/>
  <c r="M56"/>
  <c r="L56"/>
  <c r="K56"/>
  <c r="J56"/>
  <c r="N29"/>
  <c r="N48" s="1"/>
  <c r="M29"/>
  <c r="M48" s="1"/>
  <c r="L29"/>
  <c r="L48" s="1"/>
  <c r="K29"/>
  <c r="K48" s="1"/>
  <c r="J29"/>
  <c r="J48" s="1"/>
  <c r="N29" i="12"/>
  <c r="M29"/>
  <c r="L29"/>
  <c r="K29"/>
  <c r="J29"/>
  <c r="J26"/>
  <c r="J38" s="1"/>
  <c r="J39" s="1"/>
  <c r="K23"/>
  <c r="K26" s="1"/>
  <c r="J23"/>
  <c r="J18"/>
  <c r="N14"/>
  <c r="M14"/>
  <c r="L14"/>
  <c r="K14"/>
  <c r="J14"/>
  <c r="N13"/>
  <c r="M13"/>
  <c r="L13"/>
  <c r="K13"/>
  <c r="J13"/>
  <c r="J10"/>
  <c r="N9"/>
  <c r="M9"/>
  <c r="L9"/>
  <c r="K9"/>
  <c r="J9"/>
  <c r="N7"/>
  <c r="M7"/>
  <c r="L7"/>
  <c r="K7"/>
  <c r="J7"/>
  <c r="N15" i="3" l="1"/>
  <c r="N84" i="4"/>
  <c r="N90" s="1"/>
  <c r="M90"/>
  <c r="L90"/>
  <c r="L23" i="12"/>
  <c r="L26" s="1"/>
  <c r="K28"/>
  <c r="L38"/>
  <c r="L39" s="1"/>
  <c r="K38"/>
  <c r="K39" s="1"/>
  <c r="J28"/>
  <c r="M23" l="1"/>
  <c r="M26" s="1"/>
  <c r="L28"/>
  <c r="M38"/>
  <c r="M39" s="1"/>
  <c r="N23" l="1"/>
  <c r="N26" s="1"/>
  <c r="N28" s="1"/>
  <c r="M28"/>
  <c r="N38" l="1"/>
  <c r="N39" s="1"/>
  <c r="I26" l="1"/>
  <c r="I13" i="11"/>
  <c r="H13"/>
  <c r="N12"/>
  <c r="M12"/>
  <c r="L12"/>
  <c r="K12"/>
  <c r="J12"/>
  <c r="J7"/>
  <c r="I7"/>
  <c r="H7"/>
  <c r="G7"/>
  <c r="G6"/>
  <c r="G9" s="1"/>
  <c r="H6" s="1"/>
  <c r="H9" s="1"/>
  <c r="I6" s="1"/>
  <c r="I9" s="1"/>
  <c r="J6" s="1"/>
  <c r="I31" i="10"/>
  <c r="I32" s="1"/>
  <c r="H31"/>
  <c r="H32" s="1"/>
  <c r="G31"/>
  <c r="G32" s="1"/>
  <c r="K25"/>
  <c r="J25"/>
  <c r="F23"/>
  <c r="J23"/>
  <c r="I23"/>
  <c r="I22" s="1"/>
  <c r="H23"/>
  <c r="G23"/>
  <c r="H22"/>
  <c r="G22"/>
  <c r="I18"/>
  <c r="H18"/>
  <c r="G18"/>
  <c r="G16" s="1"/>
  <c r="G15" s="1"/>
  <c r="F18"/>
  <c r="I16"/>
  <c r="H16"/>
  <c r="I14"/>
  <c r="H14"/>
  <c r="H15" s="1"/>
  <c r="G14"/>
  <c r="F14"/>
  <c r="I11"/>
  <c r="J6" s="1"/>
  <c r="H11"/>
  <c r="G11"/>
  <c r="F11"/>
  <c r="N10"/>
  <c r="M10"/>
  <c r="L10"/>
  <c r="K10"/>
  <c r="J10"/>
  <c r="N8"/>
  <c r="M8"/>
  <c r="L8"/>
  <c r="K8"/>
  <c r="J8"/>
  <c r="I13" i="13"/>
  <c r="J13" s="1"/>
  <c r="K13" s="1"/>
  <c r="L13" s="1"/>
  <c r="M13" s="1"/>
  <c r="N13" s="1"/>
  <c r="H13"/>
  <c r="G13"/>
  <c r="F13"/>
  <c r="J12"/>
  <c r="K12" s="1"/>
  <c r="L12" s="1"/>
  <c r="M12" s="1"/>
  <c r="N12" s="1"/>
  <c r="I12"/>
  <c r="H12"/>
  <c r="G12"/>
  <c r="F12"/>
  <c r="I9"/>
  <c r="J9" s="1"/>
  <c r="K9" s="1"/>
  <c r="L9" s="1"/>
  <c r="M9" s="1"/>
  <c r="N9" s="1"/>
  <c r="H9"/>
  <c r="G9"/>
  <c r="F9"/>
  <c r="I8"/>
  <c r="J8" s="1"/>
  <c r="K8" s="1"/>
  <c r="L8" s="1"/>
  <c r="M8" s="1"/>
  <c r="N8" s="1"/>
  <c r="H8"/>
  <c r="G8"/>
  <c r="F8"/>
  <c r="I14" i="9"/>
  <c r="J10" s="1"/>
  <c r="J14" s="1"/>
  <c r="K10" s="1"/>
  <c r="K14" s="1"/>
  <c r="L10" s="1"/>
  <c r="L14" s="1"/>
  <c r="M10" s="1"/>
  <c r="M14" s="1"/>
  <c r="N10" s="1"/>
  <c r="N14" s="1"/>
  <c r="N11"/>
  <c r="M11"/>
  <c r="L11"/>
  <c r="K11"/>
  <c r="J11"/>
  <c r="N6"/>
  <c r="M6"/>
  <c r="L6"/>
  <c r="K6"/>
  <c r="J6"/>
  <c r="I6"/>
  <c r="H6"/>
  <c r="G6"/>
  <c r="F6"/>
  <c r="N79" i="8"/>
  <c r="M79"/>
  <c r="M12" s="1"/>
  <c r="L79"/>
  <c r="L12" s="1"/>
  <c r="K79"/>
  <c r="K12" s="1"/>
  <c r="J79"/>
  <c r="I13"/>
  <c r="H13"/>
  <c r="G13"/>
  <c r="F13"/>
  <c r="N12"/>
  <c r="J12"/>
  <c r="J10"/>
  <c r="I8"/>
  <c r="F8"/>
  <c r="N7"/>
  <c r="N11" s="1"/>
  <c r="K7"/>
  <c r="K11" s="1"/>
  <c r="J7"/>
  <c r="J11" s="1"/>
  <c r="I7"/>
  <c r="H7"/>
  <c r="H8" s="1"/>
  <c r="G7"/>
  <c r="G8" s="1"/>
  <c r="F7"/>
  <c r="N6"/>
  <c r="M6"/>
  <c r="M7" s="1"/>
  <c r="M11" s="1"/>
  <c r="L6"/>
  <c r="L7" s="1"/>
  <c r="L11" s="1"/>
  <c r="K6"/>
  <c r="J6"/>
  <c r="I6"/>
  <c r="H6"/>
  <c r="G6"/>
  <c r="F6"/>
  <c r="I15" i="10" l="1"/>
  <c r="J13" i="8"/>
  <c r="K10" s="1"/>
  <c r="K13" s="1"/>
  <c r="L10" s="1"/>
  <c r="L13" s="1"/>
  <c r="M10" s="1"/>
  <c r="M13" s="1"/>
  <c r="N10" s="1"/>
  <c r="N13" s="1"/>
  <c r="J6" i="4" l="1"/>
  <c r="K6"/>
  <c r="L6"/>
  <c r="M6"/>
  <c r="N6"/>
  <c r="L11"/>
  <c r="M6" i="7"/>
  <c r="I42" i="6"/>
  <c r="H42"/>
  <c r="I31"/>
  <c r="H31"/>
  <c r="H33" s="1"/>
  <c r="I22"/>
  <c r="I45" s="1"/>
  <c r="I48" s="1"/>
  <c r="H22"/>
  <c r="H45" s="1"/>
  <c r="H48" s="1"/>
  <c r="I11" i="3"/>
  <c r="H11"/>
  <c r="I10"/>
  <c r="H10"/>
  <c r="I9"/>
  <c r="I12" s="1"/>
  <c r="H9"/>
  <c r="I42" i="7"/>
  <c r="H42"/>
  <c r="G42"/>
  <c r="F42"/>
  <c r="I41"/>
  <c r="H41"/>
  <c r="G41"/>
  <c r="F41"/>
  <c r="I40"/>
  <c r="H40"/>
  <c r="G40"/>
  <c r="F40"/>
  <c r="I39"/>
  <c r="H39"/>
  <c r="G39"/>
  <c r="F39"/>
  <c r="I38"/>
  <c r="H38"/>
  <c r="G38"/>
  <c r="F38"/>
  <c r="I37"/>
  <c r="H37"/>
  <c r="G37"/>
  <c r="F37"/>
  <c r="I36"/>
  <c r="H36"/>
  <c r="G36"/>
  <c r="F36"/>
  <c r="E33"/>
  <c r="E32"/>
  <c r="E31"/>
  <c r="E29"/>
  <c r="E28"/>
  <c r="E27"/>
  <c r="H24"/>
  <c r="G24"/>
  <c r="G22"/>
  <c r="F22"/>
  <c r="E20"/>
  <c r="E18"/>
  <c r="E13"/>
  <c r="I20"/>
  <c r="G20"/>
  <c r="F20"/>
  <c r="I18"/>
  <c r="H18"/>
  <c r="G18"/>
  <c r="F18"/>
  <c r="I13"/>
  <c r="H13"/>
  <c r="H20" s="1"/>
  <c r="G13"/>
  <c r="F13"/>
  <c r="I7"/>
  <c r="I31" s="1"/>
  <c r="H7"/>
  <c r="H31" s="1"/>
  <c r="G7"/>
  <c r="G32" s="1"/>
  <c r="F7"/>
  <c r="F33" s="1"/>
  <c r="I6"/>
  <c r="I29" s="1"/>
  <c r="H6"/>
  <c r="H27" s="1"/>
  <c r="G6"/>
  <c r="G27" s="1"/>
  <c r="F6"/>
  <c r="F28" s="1"/>
  <c r="O6"/>
  <c r="H32" i="4"/>
  <c r="G32"/>
  <c r="F32"/>
  <c r="I40"/>
  <c r="I37"/>
  <c r="I35"/>
  <c r="I34"/>
  <c r="I32"/>
  <c r="I31"/>
  <c r="I30"/>
  <c r="H45"/>
  <c r="G45"/>
  <c r="F45"/>
  <c r="H43"/>
  <c r="G43"/>
  <c r="F43"/>
  <c r="H42"/>
  <c r="G42"/>
  <c r="F42"/>
  <c r="H41"/>
  <c r="G41"/>
  <c r="F41"/>
  <c r="H40"/>
  <c r="G40"/>
  <c r="F40"/>
  <c r="H39"/>
  <c r="G39"/>
  <c r="F39"/>
  <c r="H19"/>
  <c r="H17"/>
  <c r="H15"/>
  <c r="I12"/>
  <c r="I15" s="1"/>
  <c r="H12"/>
  <c r="H36" s="1"/>
  <c r="I8"/>
  <c r="H8"/>
  <c r="H37"/>
  <c r="G37"/>
  <c r="F37"/>
  <c r="F36"/>
  <c r="H35"/>
  <c r="G35"/>
  <c r="F35"/>
  <c r="H34"/>
  <c r="G34"/>
  <c r="F34"/>
  <c r="H31"/>
  <c r="G31"/>
  <c r="F31"/>
  <c r="I90"/>
  <c r="H90"/>
  <c r="G90"/>
  <c r="I88"/>
  <c r="H88"/>
  <c r="I85"/>
  <c r="H85"/>
  <c r="I84"/>
  <c r="H84"/>
  <c r="G84"/>
  <c r="I82"/>
  <c r="H82"/>
  <c r="I79"/>
  <c r="H79"/>
  <c r="I76"/>
  <c r="H76"/>
  <c r="I73"/>
  <c r="H73"/>
  <c r="I70"/>
  <c r="H70"/>
  <c r="F27" i="7" l="1"/>
  <c r="I28"/>
  <c r="H29"/>
  <c r="G31"/>
  <c r="F32"/>
  <c r="I33"/>
  <c r="H13" i="3"/>
  <c r="H19" s="1"/>
  <c r="F24" i="7"/>
  <c r="I27"/>
  <c r="H28"/>
  <c r="G29"/>
  <c r="F31"/>
  <c r="I32"/>
  <c r="H33"/>
  <c r="I24"/>
  <c r="G28"/>
  <c r="F29"/>
  <c r="H32"/>
  <c r="G33"/>
  <c r="H12" i="3"/>
  <c r="I13"/>
  <c r="I19" s="1"/>
  <c r="N49" i="4"/>
  <c r="N30"/>
  <c r="J49"/>
  <c r="J30"/>
  <c r="K6" i="7"/>
  <c r="K12" s="1"/>
  <c r="K11" i="3" s="1"/>
  <c r="K49" i="4"/>
  <c r="K30"/>
  <c r="L49"/>
  <c r="L30"/>
  <c r="M49"/>
  <c r="M30"/>
  <c r="K11"/>
  <c r="K54" s="1"/>
  <c r="K10"/>
  <c r="L10"/>
  <c r="L6" i="7"/>
  <c r="L10" s="1"/>
  <c r="L9" i="3" s="1"/>
  <c r="K10" i="7"/>
  <c r="K9" i="3" s="1"/>
  <c r="K7" i="4"/>
  <c r="N7"/>
  <c r="M10" i="7"/>
  <c r="M12"/>
  <c r="J11" i="4"/>
  <c r="J54" s="1"/>
  <c r="N11"/>
  <c r="J7"/>
  <c r="J10"/>
  <c r="J53" s="1"/>
  <c r="N10"/>
  <c r="M11"/>
  <c r="M54" s="1"/>
  <c r="J6" i="7"/>
  <c r="N6"/>
  <c r="M10" i="4"/>
  <c r="M53" s="1"/>
  <c r="I33" i="6"/>
  <c r="H22" i="7"/>
  <c r="I22"/>
  <c r="I45" i="4"/>
  <c r="I17"/>
  <c r="I39"/>
  <c r="I36"/>
  <c r="J7" i="7" l="1"/>
  <c r="J16" s="1"/>
  <c r="J50" i="4"/>
  <c r="K50"/>
  <c r="K53"/>
  <c r="N7" i="7"/>
  <c r="N50" i="4"/>
  <c r="N53"/>
  <c r="L53"/>
  <c r="N54"/>
  <c r="L54"/>
  <c r="M7"/>
  <c r="L7"/>
  <c r="L12" i="7"/>
  <c r="M38" s="1"/>
  <c r="M36"/>
  <c r="L36"/>
  <c r="K8" i="4"/>
  <c r="K7" i="7"/>
  <c r="N8" i="4"/>
  <c r="M11" i="3"/>
  <c r="J10" i="7"/>
  <c r="J12"/>
  <c r="J11"/>
  <c r="M7"/>
  <c r="N10"/>
  <c r="N12"/>
  <c r="N11" i="3" s="1"/>
  <c r="M9"/>
  <c r="J8" i="4"/>
  <c r="I19"/>
  <c r="I43" s="1"/>
  <c r="I42"/>
  <c r="I41"/>
  <c r="J17" i="7" l="1"/>
  <c r="J41" s="1"/>
  <c r="K12" i="4"/>
  <c r="K32"/>
  <c r="K51"/>
  <c r="L8"/>
  <c r="L50"/>
  <c r="N11" i="7"/>
  <c r="N10" i="3" s="1"/>
  <c r="N17" i="7"/>
  <c r="J12" i="4"/>
  <c r="J32"/>
  <c r="J51"/>
  <c r="M50"/>
  <c r="N12"/>
  <c r="N32"/>
  <c r="L38" i="7"/>
  <c r="L11" i="3"/>
  <c r="M8" i="4"/>
  <c r="N16" i="7"/>
  <c r="L7"/>
  <c r="K16"/>
  <c r="K40" s="1"/>
  <c r="K17"/>
  <c r="K41" s="1"/>
  <c r="K11"/>
  <c r="K24" s="1"/>
  <c r="K15" s="1"/>
  <c r="N13"/>
  <c r="N9" i="3"/>
  <c r="J10"/>
  <c r="K37" i="7"/>
  <c r="J37"/>
  <c r="J36"/>
  <c r="J13"/>
  <c r="J9" i="3"/>
  <c r="K36" i="7"/>
  <c r="J11" i="3"/>
  <c r="K38" i="7"/>
  <c r="J38"/>
  <c r="M17"/>
  <c r="M11"/>
  <c r="M16"/>
  <c r="J40"/>
  <c r="L16"/>
  <c r="L17"/>
  <c r="L11"/>
  <c r="J24"/>
  <c r="J15" s="1"/>
  <c r="N38"/>
  <c r="N36"/>
  <c r="N12" i="3" l="1"/>
  <c r="L40" i="7"/>
  <c r="M12" i="4"/>
  <c r="M51"/>
  <c r="M32"/>
  <c r="K55"/>
  <c r="K36"/>
  <c r="K15"/>
  <c r="N51"/>
  <c r="N36"/>
  <c r="N15"/>
  <c r="J55"/>
  <c r="J36"/>
  <c r="J15"/>
  <c r="L12"/>
  <c r="L32"/>
  <c r="L51"/>
  <c r="M24" i="7"/>
  <c r="M15" s="1"/>
  <c r="M18" s="1"/>
  <c r="L24"/>
  <c r="L15" s="1"/>
  <c r="L18" s="1"/>
  <c r="L41"/>
  <c r="K13"/>
  <c r="K10" i="3"/>
  <c r="M41" i="7"/>
  <c r="N41"/>
  <c r="K18"/>
  <c r="K39"/>
  <c r="J39"/>
  <c r="J18"/>
  <c r="J20" s="1"/>
  <c r="M40"/>
  <c r="N40"/>
  <c r="J12" i="3"/>
  <c r="J13" s="1"/>
  <c r="L10"/>
  <c r="L13" i="7"/>
  <c r="L37"/>
  <c r="M37"/>
  <c r="N37"/>
  <c r="M10" i="3"/>
  <c r="N24" i="7"/>
  <c r="N15" s="1"/>
  <c r="M13"/>
  <c r="N19" i="3" l="1"/>
  <c r="L12"/>
  <c r="N13"/>
  <c r="M12"/>
  <c r="K12"/>
  <c r="J19"/>
  <c r="J58" i="4"/>
  <c r="J39"/>
  <c r="J16"/>
  <c r="M36"/>
  <c r="M15"/>
  <c r="M55"/>
  <c r="L55"/>
  <c r="L36"/>
  <c r="L15"/>
  <c r="N39"/>
  <c r="N16"/>
  <c r="K58"/>
  <c r="K39"/>
  <c r="K16"/>
  <c r="N55"/>
  <c r="M39" i="7"/>
  <c r="M42" s="1"/>
  <c r="L39"/>
  <c r="L42" s="1"/>
  <c r="K42"/>
  <c r="K20"/>
  <c r="J22"/>
  <c r="J42"/>
  <c r="L20"/>
  <c r="N18"/>
  <c r="N20" s="1"/>
  <c r="N39"/>
  <c r="M20"/>
  <c r="N22" s="1"/>
  <c r="M19" i="3" l="1"/>
  <c r="M13"/>
  <c r="L13"/>
  <c r="L19" s="1"/>
  <c r="K13"/>
  <c r="K19" s="1"/>
  <c r="K59" i="4"/>
  <c r="K40"/>
  <c r="L58"/>
  <c r="L39"/>
  <c r="L16"/>
  <c r="J59"/>
  <c r="J40"/>
  <c r="K17"/>
  <c r="N40"/>
  <c r="M58"/>
  <c r="M39"/>
  <c r="M16"/>
  <c r="N17"/>
  <c r="N58"/>
  <c r="J17"/>
  <c r="M22" i="7"/>
  <c r="L22"/>
  <c r="K22"/>
  <c r="N42"/>
  <c r="K60" i="4" l="1"/>
  <c r="K41"/>
  <c r="K18"/>
  <c r="L59"/>
  <c r="L40"/>
  <c r="J60"/>
  <c r="J41"/>
  <c r="J18"/>
  <c r="J61" s="1"/>
  <c r="M59"/>
  <c r="M40"/>
  <c r="N59"/>
  <c r="L17"/>
  <c r="M17"/>
  <c r="N41"/>
  <c r="N18"/>
  <c r="N19" s="1"/>
  <c r="H30"/>
  <c r="G30"/>
  <c r="F30"/>
  <c r="N43" l="1"/>
  <c r="L60"/>
  <c r="L41"/>
  <c r="L18"/>
  <c r="L61" s="1"/>
  <c r="J19"/>
  <c r="K61"/>
  <c r="M60"/>
  <c r="M41"/>
  <c r="M18"/>
  <c r="M61" s="1"/>
  <c r="N60"/>
  <c r="K19"/>
  <c r="E14" i="10"/>
  <c r="D14"/>
  <c r="C14"/>
  <c r="K43" i="4" l="1"/>
  <c r="K62"/>
  <c r="J43"/>
  <c r="J62"/>
  <c r="N61"/>
  <c r="M19"/>
  <c r="L19"/>
  <c r="E13" i="13"/>
  <c r="D13"/>
  <c r="C13"/>
  <c r="E12"/>
  <c r="D12"/>
  <c r="C12"/>
  <c r="E9"/>
  <c r="D9"/>
  <c r="C9"/>
  <c r="E8"/>
  <c r="D8"/>
  <c r="C8"/>
  <c r="M43" i="4" l="1"/>
  <c r="M62"/>
  <c r="N62"/>
  <c r="L62"/>
  <c r="L43"/>
  <c r="A1" i="13"/>
  <c r="C6" i="7"/>
  <c r="D6"/>
  <c r="C7"/>
  <c r="D7"/>
  <c r="D33" s="1"/>
  <c r="C10"/>
  <c r="D10"/>
  <c r="E36" s="1"/>
  <c r="C11"/>
  <c r="D11"/>
  <c r="C12"/>
  <c r="D12"/>
  <c r="E38" s="1"/>
  <c r="C13"/>
  <c r="C20" s="1"/>
  <c r="D13"/>
  <c r="D20" s="1"/>
  <c r="E22" s="1"/>
  <c r="C15"/>
  <c r="D15"/>
  <c r="E39" s="1"/>
  <c r="C16"/>
  <c r="D16"/>
  <c r="E40" s="1"/>
  <c r="C17"/>
  <c r="D17"/>
  <c r="E41" s="1"/>
  <c r="C18"/>
  <c r="D18"/>
  <c r="D24"/>
  <c r="D31" s="1"/>
  <c r="C27"/>
  <c r="D27"/>
  <c r="C28"/>
  <c r="D28"/>
  <c r="C29"/>
  <c r="D29"/>
  <c r="D32"/>
  <c r="D22" l="1"/>
  <c r="E37"/>
  <c r="E42" s="1"/>
  <c r="E24"/>
  <c r="C21" i="4"/>
  <c r="C20"/>
  <c r="D21"/>
  <c r="D20"/>
  <c r="E21"/>
  <c r="E20"/>
  <c r="F21"/>
  <c r="F20"/>
  <c r="D57" i="10" l="1"/>
  <c r="C57"/>
  <c r="C62" s="1"/>
  <c r="C67" s="1"/>
  <c r="B69" i="8"/>
  <c r="B70" s="1"/>
  <c r="B71" s="1"/>
  <c r="B72" s="1"/>
  <c r="B53"/>
  <c r="B54" s="1"/>
  <c r="B55" s="1"/>
  <c r="B56" s="1"/>
  <c r="C66" i="4"/>
  <c r="A1" i="12"/>
  <c r="A1" i="11"/>
  <c r="A1" i="10"/>
  <c r="A1" i="9"/>
  <c r="A1" i="8"/>
  <c r="A1" i="7"/>
  <c r="B39" i="8"/>
  <c r="B40" s="1"/>
  <c r="B41" s="1"/>
  <c r="B42" s="1"/>
  <c r="B29"/>
  <c r="B28"/>
  <c r="B27"/>
  <c r="B26"/>
  <c r="A1" i="6"/>
  <c r="F42"/>
  <c r="G42"/>
  <c r="F31"/>
  <c r="G31"/>
  <c r="F22"/>
  <c r="F33" s="1"/>
  <c r="G22"/>
  <c r="G33" s="1"/>
  <c r="F45" l="1"/>
  <c r="F48" s="1"/>
  <c r="G45"/>
  <c r="G48" s="1"/>
  <c r="G45" i="3" l="1"/>
  <c r="G28"/>
  <c r="G35" s="1"/>
  <c r="G12"/>
  <c r="G19" s="1"/>
  <c r="F45"/>
  <c r="F28"/>
  <c r="F35" s="1"/>
  <c r="F12"/>
  <c r="F19" s="1"/>
  <c r="E45"/>
  <c r="E47" s="1"/>
  <c r="E11" i="10" s="1"/>
  <c r="E28" i="3"/>
  <c r="E35" s="1"/>
  <c r="E12"/>
  <c r="E19" s="1"/>
  <c r="D45"/>
  <c r="D47" s="1"/>
  <c r="D11" i="10" s="1"/>
  <c r="D28" i="3"/>
  <c r="D35" s="1"/>
  <c r="D12"/>
  <c r="D19" s="1"/>
  <c r="C45"/>
  <c r="C47" s="1"/>
  <c r="C11" i="10" s="1"/>
  <c r="C28" i="3"/>
  <c r="C35" s="1"/>
  <c r="C12"/>
  <c r="C19" s="1"/>
  <c r="C5"/>
  <c r="C5" i="13" s="1"/>
  <c r="A1" i="3"/>
  <c r="E61" i="4"/>
  <c r="D61"/>
  <c r="E59"/>
  <c r="D59"/>
  <c r="E56"/>
  <c r="D56"/>
  <c r="E54"/>
  <c r="D54"/>
  <c r="E53"/>
  <c r="D53"/>
  <c r="E50"/>
  <c r="D50"/>
  <c r="E49"/>
  <c r="D49"/>
  <c r="C29"/>
  <c r="C48" s="1"/>
  <c r="E40"/>
  <c r="D40"/>
  <c r="C40"/>
  <c r="E37"/>
  <c r="D37"/>
  <c r="C37"/>
  <c r="E35"/>
  <c r="D35"/>
  <c r="C35"/>
  <c r="E34"/>
  <c r="D34"/>
  <c r="C34"/>
  <c r="E31"/>
  <c r="D31"/>
  <c r="C31"/>
  <c r="E30"/>
  <c r="D30"/>
  <c r="C30"/>
  <c r="D5"/>
  <c r="G8"/>
  <c r="G12" s="1"/>
  <c r="G36" s="1"/>
  <c r="F8"/>
  <c r="F12" s="1"/>
  <c r="E8"/>
  <c r="E12" s="1"/>
  <c r="D8"/>
  <c r="D12" s="1"/>
  <c r="C8"/>
  <c r="C12" s="1"/>
  <c r="F47" i="3" l="1"/>
  <c r="G47"/>
  <c r="E5" i="4"/>
  <c r="D66"/>
  <c r="C36"/>
  <c r="C15"/>
  <c r="C45" s="1"/>
  <c r="D36"/>
  <c r="D15"/>
  <c r="D45" s="1"/>
  <c r="E36"/>
  <c r="E15"/>
  <c r="E45" s="1"/>
  <c r="F15"/>
  <c r="G15"/>
  <c r="E51"/>
  <c r="D55"/>
  <c r="D51"/>
  <c r="E55"/>
  <c r="D5" i="3"/>
  <c r="C5" i="6"/>
  <c r="C5" i="12"/>
  <c r="C5" i="11"/>
  <c r="C5" i="10"/>
  <c r="C5" i="9"/>
  <c r="C5" i="8"/>
  <c r="C5" i="7"/>
  <c r="G48" i="3"/>
  <c r="F48"/>
  <c r="E48"/>
  <c r="D48"/>
  <c r="C48"/>
  <c r="C32" i="4"/>
  <c r="E32"/>
  <c r="E29"/>
  <c r="E48" s="1"/>
  <c r="D32"/>
  <c r="D29"/>
  <c r="D48" s="1"/>
  <c r="D5" i="7" l="1"/>
  <c r="D5" i="13"/>
  <c r="D5" i="6"/>
  <c r="D5" i="10"/>
  <c r="F5" i="4"/>
  <c r="E66"/>
  <c r="E5" i="3"/>
  <c r="E5" i="13" s="1"/>
  <c r="D5" i="8"/>
  <c r="D5" i="12"/>
  <c r="D5" i="9"/>
  <c r="D5" i="11"/>
  <c r="G17" i="4"/>
  <c r="F17"/>
  <c r="E58"/>
  <c r="E39"/>
  <c r="E17"/>
  <c r="E42" s="1"/>
  <c r="D39"/>
  <c r="D58"/>
  <c r="D17"/>
  <c r="D42" s="1"/>
  <c r="C39"/>
  <c r="C17"/>
  <c r="C42" s="1"/>
  <c r="E5" i="7" l="1"/>
  <c r="E5" i="10"/>
  <c r="E5" i="11"/>
  <c r="E5" i="6"/>
  <c r="E5" i="12"/>
  <c r="E5" i="8"/>
  <c r="G5" i="4"/>
  <c r="F66"/>
  <c r="F29"/>
  <c r="F48" s="1"/>
  <c r="F5" i="3"/>
  <c r="E5" i="9"/>
  <c r="E19" i="4"/>
  <c r="E60"/>
  <c r="E41"/>
  <c r="G19"/>
  <c r="C19"/>
  <c r="C43" s="1"/>
  <c r="C41"/>
  <c r="D19"/>
  <c r="D41"/>
  <c r="D60"/>
  <c r="F19"/>
  <c r="F5" i="10" l="1"/>
  <c r="F5" i="13"/>
  <c r="F5" i="12"/>
  <c r="F5" i="8"/>
  <c r="F5" i="6"/>
  <c r="F5" i="11"/>
  <c r="F5" i="9"/>
  <c r="F5" i="7"/>
  <c r="H5" i="4"/>
  <c r="G66"/>
  <c r="G29"/>
  <c r="G48" s="1"/>
  <c r="G5" i="3"/>
  <c r="D43" i="4"/>
  <c r="D62"/>
  <c r="E62"/>
  <c r="E43"/>
  <c r="G5" i="10" l="1"/>
  <c r="G5" i="13"/>
  <c r="H66" i="4"/>
  <c r="I5"/>
  <c r="J5" s="1"/>
  <c r="H5" i="3"/>
  <c r="H29" i="4"/>
  <c r="H48" s="1"/>
  <c r="G5" i="6"/>
  <c r="G5" i="11"/>
  <c r="G5" i="9"/>
  <c r="G5" i="7"/>
  <c r="G5" i="12"/>
  <c r="G5" i="8"/>
  <c r="H5" i="10" l="1"/>
  <c r="H5" i="13"/>
  <c r="K5" i="4"/>
  <c r="H5" i="12"/>
  <c r="H5" i="6"/>
  <c r="H5" i="9"/>
  <c r="H5" i="11"/>
  <c r="H5" i="7"/>
  <c r="H5" i="8"/>
  <c r="I66" i="4"/>
  <c r="I29"/>
  <c r="I48" s="1"/>
  <c r="I5" i="3"/>
  <c r="I5" i="11" l="1"/>
  <c r="I5" i="13"/>
  <c r="L5" i="4"/>
  <c r="J5" i="3"/>
  <c r="J5" i="13" s="1"/>
  <c r="I5" i="10"/>
  <c r="I5" i="8"/>
  <c r="I5" i="12"/>
  <c r="I5" i="9"/>
  <c r="I5" i="6"/>
  <c r="I5" i="7"/>
  <c r="M5" i="4" l="1"/>
  <c r="K5" i="3"/>
  <c r="K5" i="13" s="1"/>
  <c r="J5" i="12"/>
  <c r="J5" i="6"/>
  <c r="J5" i="9"/>
  <c r="J5" i="11"/>
  <c r="J5" i="10"/>
  <c r="J5" i="7"/>
  <c r="J5" i="8"/>
  <c r="N5" i="4" l="1"/>
  <c r="L5" i="3"/>
  <c r="L5" i="13" s="1"/>
  <c r="K5" i="11"/>
  <c r="K5" i="9"/>
  <c r="K5" i="6"/>
  <c r="K5" i="7"/>
  <c r="K5" i="10"/>
  <c r="K5" i="12"/>
  <c r="K5" i="8"/>
  <c r="M5" i="3" l="1"/>
  <c r="M5" i="13" s="1"/>
  <c r="L5" i="12"/>
  <c r="L5" i="11"/>
  <c r="L5" i="10"/>
  <c r="L5" i="7"/>
  <c r="L5" i="8"/>
  <c r="L5" i="6"/>
  <c r="L5" i="9"/>
  <c r="N5" i="3" l="1"/>
  <c r="N5" i="13" s="1"/>
  <c r="M5" i="11"/>
  <c r="M5" i="10"/>
  <c r="M5" i="12"/>
  <c r="M5" i="8"/>
  <c r="M5" i="9"/>
  <c r="M5" i="6"/>
  <c r="M5" i="7"/>
  <c r="N5" i="12" l="1"/>
  <c r="N5" i="9"/>
  <c r="N5" i="11"/>
  <c r="N5" i="6"/>
  <c r="N5" i="10"/>
  <c r="N5" i="7"/>
  <c r="N5" i="8"/>
  <c r="L7" i="10"/>
  <c r="N7"/>
  <c r="K7"/>
  <c r="M7"/>
  <c r="M8" i="11"/>
  <c r="N8"/>
  <c r="K8"/>
  <c r="M17" i="10"/>
  <c r="J16"/>
  <c r="J17" s="1"/>
  <c r="J31"/>
  <c r="J30" s="1"/>
  <c r="J9" s="1"/>
  <c r="J11" s="1"/>
  <c r="K6" s="1"/>
  <c r="K11" s="1"/>
  <c r="L6" s="1"/>
  <c r="L11" s="1"/>
  <c r="M6" s="1"/>
  <c r="M11" s="1"/>
  <c r="N6" s="1"/>
  <c r="N11" s="1"/>
  <c r="J14"/>
  <c r="M31"/>
  <c r="M30" s="1"/>
  <c r="M9" s="1"/>
  <c r="N14"/>
  <c r="N16" s="1"/>
  <c r="N17" s="1"/>
  <c r="L8" i="11"/>
  <c r="L31" i="10"/>
  <c r="L30"/>
  <c r="L9"/>
  <c r="M14"/>
  <c r="M16"/>
  <c r="N31"/>
  <c r="N30"/>
  <c r="N9" s="1"/>
  <c r="K14"/>
  <c r="K16"/>
  <c r="K17" s="1"/>
  <c r="K31"/>
  <c r="K30"/>
  <c r="K9" s="1"/>
  <c r="L14"/>
  <c r="L16"/>
  <c r="L17" s="1"/>
  <c r="J8" i="11"/>
  <c r="J9"/>
  <c r="K6" s="1"/>
  <c r="K9" s="1"/>
  <c r="J7" i="10"/>
  <c r="L6" i="11" l="1"/>
  <c r="L9" s="1"/>
  <c r="J11"/>
  <c r="J13" s="1"/>
  <c r="K11"/>
  <c r="K13" s="1"/>
  <c r="M6" l="1"/>
  <c r="M9" s="1"/>
  <c r="M11"/>
  <c r="M13" s="1"/>
  <c r="L11"/>
  <c r="L13" s="1"/>
  <c r="N6" l="1"/>
  <c r="N9" s="1"/>
  <c r="N11" s="1"/>
  <c r="N13" s="1"/>
  <c r="M39" i="6"/>
  <c r="K8" i="12"/>
  <c r="M10"/>
  <c r="K39" i="6"/>
  <c r="L10" i="12"/>
  <c r="M20" i="4"/>
  <c r="J39" i="6"/>
  <c r="N10" i="12"/>
  <c r="N39" i="6"/>
  <c r="K45" i="12"/>
  <c r="K47" s="1"/>
  <c r="M23" i="4"/>
  <c r="J24"/>
  <c r="J21" s="1"/>
  <c r="K10" i="12"/>
  <c r="K12" s="1"/>
  <c r="K15" s="1"/>
  <c r="K19" s="1"/>
  <c r="M8"/>
  <c r="M7" i="6"/>
  <c r="M22"/>
  <c r="L39"/>
  <c r="J29" i="3"/>
  <c r="J35"/>
  <c r="N29"/>
  <c r="N35" s="1"/>
  <c r="L29"/>
  <c r="L35"/>
  <c r="J8" i="12"/>
  <c r="N7" i="6"/>
  <c r="N22" s="1"/>
  <c r="N38"/>
  <c r="N42"/>
  <c r="L24" i="4"/>
  <c r="L21" s="1"/>
  <c r="K24"/>
  <c r="K21"/>
  <c r="K29" i="3"/>
  <c r="K35" s="1"/>
  <c r="L8" i="12"/>
  <c r="L38" i="6"/>
  <c r="L42" s="1"/>
  <c r="N24" i="4"/>
  <c r="N21"/>
  <c r="K23"/>
  <c r="K20" s="1"/>
  <c r="J38" i="6"/>
  <c r="J42"/>
  <c r="K7"/>
  <c r="K22" s="1"/>
  <c r="M24" i="4"/>
  <c r="M21"/>
  <c r="N8" i="12"/>
  <c r="K6"/>
  <c r="K38" i="6"/>
  <c r="K42" s="1"/>
  <c r="L23" i="4"/>
  <c r="L20" s="1"/>
  <c r="M6" i="12"/>
  <c r="M12" s="1"/>
  <c r="M15" s="1"/>
  <c r="M19" s="1"/>
  <c r="L45"/>
  <c r="L47" s="1"/>
  <c r="M45"/>
  <c r="M47" s="1"/>
  <c r="N23" i="4"/>
  <c r="N20" s="1"/>
  <c r="J45" i="12"/>
  <c r="J47"/>
  <c r="L6"/>
  <c r="L12"/>
  <c r="L15" s="1"/>
  <c r="L19" s="1"/>
  <c r="L7" i="6"/>
  <c r="L22"/>
  <c r="L33" s="1"/>
  <c r="N6" i="12"/>
  <c r="N12" s="1"/>
  <c r="N15" s="1"/>
  <c r="N19" s="1"/>
  <c r="J7" i="6"/>
  <c r="J22"/>
  <c r="J33" s="1"/>
  <c r="J45"/>
  <c r="J48" s="1"/>
  <c r="K47" s="1"/>
  <c r="J23" i="4"/>
  <c r="J20" s="1"/>
  <c r="N45" i="12"/>
  <c r="N47"/>
  <c r="M38" i="6"/>
  <c r="M42" s="1"/>
  <c r="M29" i="3"/>
  <c r="M35"/>
  <c r="J6" i="12"/>
  <c r="J12" s="1"/>
  <c r="J15" s="1"/>
  <c r="J19" s="1"/>
  <c r="J20" s="1"/>
  <c r="N45" i="6" l="1"/>
  <c r="N33"/>
  <c r="M45"/>
  <c r="J33" i="12"/>
  <c r="J35" s="1"/>
  <c r="J42" s="1"/>
  <c r="K18"/>
  <c r="K20" s="1"/>
  <c r="K45" i="6"/>
  <c r="K33"/>
  <c r="K48"/>
  <c r="L47" s="1"/>
  <c r="L48" s="1"/>
  <c r="M47" s="1"/>
  <c r="M48" s="1"/>
  <c r="N47" s="1"/>
  <c r="N48" s="1"/>
  <c r="L45"/>
  <c r="M33"/>
  <c r="L33" i="12" l="1"/>
  <c r="L35" s="1"/>
  <c r="L42" s="1"/>
  <c r="L18"/>
  <c r="L20" s="1"/>
  <c r="K33"/>
  <c r="K35" s="1"/>
  <c r="K42" s="1"/>
  <c r="M33" l="1"/>
  <c r="M35" s="1"/>
  <c r="M42" s="1"/>
  <c r="M18"/>
  <c r="M20" s="1"/>
  <c r="N33" l="1"/>
  <c r="N35" s="1"/>
  <c r="N42" s="1"/>
  <c r="N18"/>
  <c r="N20" s="1"/>
</calcChain>
</file>

<file path=xl/sharedStrings.xml><?xml version="1.0" encoding="utf-8"?>
<sst xmlns="http://schemas.openxmlformats.org/spreadsheetml/2006/main" count="322" uniqueCount="237">
  <si>
    <t>Colgate-Palmolive Company</t>
  </si>
  <si>
    <t>Net sales</t>
  </si>
  <si>
    <t>Cost of sales</t>
  </si>
  <si>
    <t xml:space="preserve">  Gross profit</t>
  </si>
  <si>
    <t>Selling, general and administrative expenses</t>
  </si>
  <si>
    <t>Other (income) expense, net</t>
  </si>
  <si>
    <t xml:space="preserve">  Operating profit</t>
  </si>
  <si>
    <t xml:space="preserve">Interest expense, net </t>
  </si>
  <si>
    <t>Income before income taxes</t>
  </si>
  <si>
    <t>Provision for income taxes</t>
  </si>
  <si>
    <t xml:space="preserve">  Net income including noncontrolling interests</t>
  </si>
  <si>
    <t>Less: Net income attributable to noncontrolling interests</t>
  </si>
  <si>
    <t xml:space="preserve">  Net income attributable to Colgate-Palmolive Company</t>
  </si>
  <si>
    <t>Earnings per common share, basic</t>
  </si>
  <si>
    <t>Earnings per common share, diluted</t>
  </si>
  <si>
    <t xml:space="preserve"> </t>
  </si>
  <si>
    <t>Income Statement (Consolidated)</t>
  </si>
  <si>
    <t>($ in Million Except Per Share Amounts)</t>
  </si>
  <si>
    <t>Vertical Analysis</t>
  </si>
  <si>
    <t>Horizontal Analysis</t>
  </si>
  <si>
    <t>Consolidated Balance Sheets</t>
  </si>
  <si>
    <t>Assets</t>
  </si>
  <si>
    <t>Current Assets</t>
  </si>
  <si>
    <t xml:space="preserve">  Cash and cash equivalents</t>
  </si>
  <si>
    <t xml:space="preserve">  Receivables (net of allowances of $49, $53, $52, $47 and $51 respectively)</t>
  </si>
  <si>
    <t xml:space="preserve">  Inventories</t>
  </si>
  <si>
    <t xml:space="preserve">  Other current assets</t>
  </si>
  <si>
    <t xml:space="preserve">    Total current assets</t>
  </si>
  <si>
    <t>Property, plant and equipment, net</t>
  </si>
  <si>
    <t>Goodwill, net</t>
  </si>
  <si>
    <t>Other intangible assets, net</t>
  </si>
  <si>
    <t>Deferred income taxes</t>
  </si>
  <si>
    <t>Other assets</t>
  </si>
  <si>
    <t>Total assets</t>
  </si>
  <si>
    <t>Liabilities and Shareholders' Equity</t>
  </si>
  <si>
    <t>Current Liabilities</t>
  </si>
  <si>
    <t xml:space="preserve">  Notes and loans payable </t>
  </si>
  <si>
    <t xml:space="preserve">  Current portion of long-term debt</t>
  </si>
  <si>
    <t xml:space="preserve">  Accounts payable</t>
  </si>
  <si>
    <t xml:space="preserve">  Accrued income taxes</t>
  </si>
  <si>
    <t xml:space="preserve">  Other accruals</t>
  </si>
  <si>
    <t xml:space="preserve">    Total current liabilities</t>
  </si>
  <si>
    <t>Long-term debt</t>
  </si>
  <si>
    <t>Other liabilities</t>
  </si>
  <si>
    <t>Total liabilities</t>
  </si>
  <si>
    <t>Commitments and contingent liabilities</t>
  </si>
  <si>
    <t>Shareholders' Equity</t>
  </si>
  <si>
    <t xml:space="preserve">  Preference stock</t>
  </si>
  <si>
    <t xml:space="preserve">  Common stock</t>
  </si>
  <si>
    <t xml:space="preserve">  Additional paid-in capital</t>
  </si>
  <si>
    <t xml:space="preserve">  Retained earnings</t>
  </si>
  <si>
    <t xml:space="preserve">  Accumulated other comprehensive income (loss)</t>
  </si>
  <si>
    <t xml:space="preserve">  Unearned compensation</t>
  </si>
  <si>
    <t xml:space="preserve">  Treasury stock, at cost</t>
  </si>
  <si>
    <t>Total Colgate-Palmolive Company shareholders' equity</t>
  </si>
  <si>
    <t xml:space="preserve">  Noncontrolling interests</t>
  </si>
  <si>
    <t xml:space="preserve">  Total shareholders' equity</t>
  </si>
  <si>
    <t>Total liabilities and shareholders' equity</t>
  </si>
  <si>
    <t>-</t>
  </si>
  <si>
    <t>Operating Activities</t>
  </si>
  <si>
    <t>Net income including noncontrolling interests</t>
  </si>
  <si>
    <t>to net cash provided by operations:</t>
  </si>
  <si>
    <t>Depreciation and amortization</t>
  </si>
  <si>
    <t>Restructuring and termination benefits, net of cash</t>
  </si>
  <si>
    <t>Venezuela hyperinflationary transition charge</t>
  </si>
  <si>
    <t>Gain before tax on sales of non-core product lines</t>
  </si>
  <si>
    <t>Voluntary benefit plan contributions</t>
  </si>
  <si>
    <t>Stock-based compensation expense</t>
  </si>
  <si>
    <t xml:space="preserve">Cash effects of changes in: </t>
  </si>
  <si>
    <t>Receivables</t>
  </si>
  <si>
    <t>Inventories</t>
  </si>
  <si>
    <t>Accounts payable and other accruals</t>
  </si>
  <si>
    <t>Other non-current assets and liabilities</t>
  </si>
  <si>
    <t>Net cash provided by operations</t>
  </si>
  <si>
    <t>Investing Activities</t>
  </si>
  <si>
    <t xml:space="preserve">  </t>
  </si>
  <si>
    <t>Capital expenditures</t>
  </si>
  <si>
    <t>Sale of property and non-core product lines</t>
  </si>
  <si>
    <t>Purchases of marketable securities and investments</t>
  </si>
  <si>
    <t>Proceeds from sale of marketable securities and investments</t>
  </si>
  <si>
    <t>Payment for acquisitions, net of cash acquired</t>
  </si>
  <si>
    <t>Other</t>
  </si>
  <si>
    <t>Net cash used in investing activities</t>
  </si>
  <si>
    <t>Financing Activities</t>
  </si>
  <si>
    <t>Principal payments on debt</t>
  </si>
  <si>
    <t>Proceeds from issuance of debt</t>
  </si>
  <si>
    <t>Dividends paid</t>
  </si>
  <si>
    <t>Purchases of treasury shares</t>
  </si>
  <si>
    <t>Proceeds from exercise of stock options and excess tax benefits</t>
  </si>
  <si>
    <t>Net cash used in financing activities</t>
  </si>
  <si>
    <t>Effect of exchange rate changes on Cash and cash equivalents</t>
  </si>
  <si>
    <t>Net increase (decrease) in Cash and cash equivalents</t>
  </si>
  <si>
    <t>Cash and cash equivalents at beginning of year</t>
  </si>
  <si>
    <t>Cash and cash equivalents at end of year</t>
  </si>
  <si>
    <t>Supplemental Cash Flow Information</t>
  </si>
  <si>
    <t>Income taxes paid</t>
  </si>
  <si>
    <t>Interest paid</t>
  </si>
  <si>
    <t>Consolidated Cash Flows</t>
  </si>
  <si>
    <t>Net Sales</t>
  </si>
  <si>
    <t>Number of days assumption</t>
  </si>
  <si>
    <t>Working Capital Balances</t>
  </si>
  <si>
    <t>Total Non Cash Current Assets</t>
  </si>
  <si>
    <t>Total Non-Debt Current Liabilities</t>
  </si>
  <si>
    <t>Net Working Capital/ (Deficit)</t>
  </si>
  <si>
    <t>(Increase)/ Decrease in Working Capital</t>
  </si>
  <si>
    <t>Ratios &amp; Assumptions</t>
  </si>
  <si>
    <t>Accounts Receivable, net (Collection period in days)</t>
  </si>
  <si>
    <t>Inventory (Days outstanding)</t>
  </si>
  <si>
    <t>Other Current Assets (% of Net Sales)</t>
  </si>
  <si>
    <t>Accounts Payable (Days Payable)</t>
  </si>
  <si>
    <t>Cash Flow from Individual line items</t>
  </si>
  <si>
    <t>(Incease)/ Decrease in Working Capital</t>
  </si>
  <si>
    <t>Check</t>
  </si>
  <si>
    <t>Capital Expenditures</t>
  </si>
  <si>
    <t>Capital Expenditures as % of Net Sales</t>
  </si>
  <si>
    <t>Beginning Net PP&amp;E</t>
  </si>
  <si>
    <t>(Depreciation Expense)</t>
  </si>
  <si>
    <t>Ending Net PP&amp;E</t>
  </si>
  <si>
    <t xml:space="preserve">Land </t>
  </si>
  <si>
    <t>Building Improvements</t>
  </si>
  <si>
    <t>Machinery and equipment</t>
  </si>
  <si>
    <t>Total</t>
  </si>
  <si>
    <t>Total Capex</t>
  </si>
  <si>
    <t>Breakup</t>
  </si>
  <si>
    <t>Building Improvements - Straight Line Method</t>
  </si>
  <si>
    <t>Useful Life</t>
  </si>
  <si>
    <t>Building Improvement</t>
  </si>
  <si>
    <t>Depreciation Expense (existing)</t>
  </si>
  <si>
    <t>Depreciation (Building Improvements)</t>
  </si>
  <si>
    <t>Machinery &amp; Equipments</t>
  </si>
  <si>
    <t>Total Depreciation (Machinery &amp; Equipments)</t>
  </si>
  <si>
    <t>Total Depreciation Expense</t>
  </si>
  <si>
    <t>Additions to Intangibles</t>
  </si>
  <si>
    <t>Additions to Intangibles as % of Net Sales</t>
  </si>
  <si>
    <t>Beginning Net Intangibles</t>
  </si>
  <si>
    <t>(Amortization Expense)</t>
  </si>
  <si>
    <t>(Intangible Sales and write offs)</t>
  </si>
  <si>
    <t>Ending Net Intangibles</t>
  </si>
  <si>
    <t>Beginning Equity Balance</t>
  </si>
  <si>
    <t>Net Income</t>
  </si>
  <si>
    <t>Issuance/ (Repurchase) of Equity</t>
  </si>
  <si>
    <t>Dividends Paid</t>
  </si>
  <si>
    <t>Option Proceeds</t>
  </si>
  <si>
    <t>Ending Equity Balance</t>
  </si>
  <si>
    <t>Share Repurchase Assumptions</t>
  </si>
  <si>
    <t>Current Year EPS</t>
  </si>
  <si>
    <t>Assumed Current Year EPS Multiple</t>
  </si>
  <si>
    <t>Shares Repurchased - millions</t>
  </si>
  <si>
    <t>Amount Repurchased ( $ outgo)</t>
  </si>
  <si>
    <t>New Shares from Exercised Options</t>
  </si>
  <si>
    <t>New Shares from Exercised Options - millions</t>
  </si>
  <si>
    <t>Average Strike Price</t>
  </si>
  <si>
    <t>Dividend Assumptions</t>
  </si>
  <si>
    <t>Total Dividends Paid</t>
  </si>
  <si>
    <t>Dividend Payout Ratio</t>
  </si>
  <si>
    <t>`</t>
  </si>
  <si>
    <t>Beginning Balance - Basic (actual)</t>
  </si>
  <si>
    <t>Shares Repurchased</t>
  </si>
  <si>
    <t>Ending Balance - Basic (actual)</t>
  </si>
  <si>
    <t>Basic Weighted Average Shares</t>
  </si>
  <si>
    <t>Diluted Weighted Average Shares</t>
  </si>
  <si>
    <t>Debt Schedule</t>
  </si>
  <si>
    <t>Cash Flow Available for Financing Activities</t>
  </si>
  <si>
    <t>Proceeds from/ (Repurchase of) Equity</t>
  </si>
  <si>
    <t>Dividends</t>
  </si>
  <si>
    <t>+ Beginning Cash Balance</t>
  </si>
  <si>
    <t>- Minimum Cash Balance</t>
  </si>
  <si>
    <t>Cash Available for Debt Repayment</t>
  </si>
  <si>
    <t>Long Term Debt Issuance</t>
  </si>
  <si>
    <t>Long Term Debt (Repayments)</t>
  </si>
  <si>
    <t>Cash Available for Revolving Credit Facility</t>
  </si>
  <si>
    <t>Revolving Credit Facility</t>
  </si>
  <si>
    <t>Beginning Balance</t>
  </si>
  <si>
    <t>Discretionary (Paydown)/ Borrowings</t>
  </si>
  <si>
    <t>Ending Balance</t>
  </si>
  <si>
    <t>Long Term Debt</t>
  </si>
  <si>
    <t>Issuance</t>
  </si>
  <si>
    <t>(Repayment/ Amortization)</t>
  </si>
  <si>
    <t>Average Balance</t>
  </si>
  <si>
    <t>Interest Rate</t>
  </si>
  <si>
    <t>Interest Expense</t>
  </si>
  <si>
    <t>Total Interest Expense</t>
  </si>
  <si>
    <t>Cash Balances</t>
  </si>
  <si>
    <t>Interest Income</t>
  </si>
  <si>
    <t xml:space="preserve">Cost of Sales </t>
  </si>
  <si>
    <t>Purchases</t>
  </si>
  <si>
    <t>Accrued Income Taxes (% of COGS)</t>
  </si>
  <si>
    <t>Other accruals (% of COGS)</t>
  </si>
  <si>
    <t>Other Equipment</t>
  </si>
  <si>
    <t>PPE (Break-up for 2013)</t>
  </si>
  <si>
    <t>Segmental Information</t>
  </si>
  <si>
    <t>Consolidated Working Capital</t>
  </si>
  <si>
    <t>Consolidated Depreciation and Capex</t>
  </si>
  <si>
    <t>Consolidated Amortization &amp; Intangible</t>
  </si>
  <si>
    <t>Consolidated Shareholder's Equity</t>
  </si>
  <si>
    <t>Consolidated Shares Outstanding</t>
  </si>
  <si>
    <t>Oral, Personal and Home Care</t>
  </si>
  <si>
    <t>Latin America</t>
  </si>
  <si>
    <t>Europe/South Pacific</t>
  </si>
  <si>
    <t>Asia</t>
  </si>
  <si>
    <t>Africa/Eurasia</t>
  </si>
  <si>
    <t>Total Oral, Personal and Home Care</t>
  </si>
  <si>
    <t>Total Net sales</t>
  </si>
  <si>
    <t>Pet Nutrition</t>
  </si>
  <si>
    <t>North America</t>
  </si>
  <si>
    <t>% growth (yoy)</t>
  </si>
  <si>
    <t>EBIT</t>
  </si>
  <si>
    <t>EBT</t>
  </si>
  <si>
    <t>Effective Tax Rates</t>
  </si>
  <si>
    <t>Less: Net income attributable to noncontrolling interests (% of Net Income)</t>
  </si>
  <si>
    <t>Total Depreciation (Other Equipment)</t>
  </si>
  <si>
    <t>Cash Flow for Financing Activities</t>
  </si>
  <si>
    <t>Current Portion of Long Term Debt</t>
  </si>
  <si>
    <t>Revolver</t>
  </si>
  <si>
    <t>Shares and ESOPs</t>
  </si>
  <si>
    <t/>
  </si>
  <si>
    <t>Common Stock</t>
  </si>
  <si>
    <t>Outstanding</t>
  </si>
  <si>
    <t>Treasury Stock</t>
  </si>
  <si>
    <t>Balance, January 1, 2011</t>
  </si>
  <si>
    <t>Common stock acquired</t>
  </si>
  <si>
    <t>Shares issued for stock options</t>
  </si>
  <si>
    <t>Shares issued for restricted stock units and other</t>
  </si>
  <si>
    <t>Balance, December 31, 2011</t>
  </si>
  <si>
    <t>Balance, December 31, 2012</t>
  </si>
  <si>
    <t>Balance, December 31, 2013</t>
  </si>
  <si>
    <t>Restricted Stock Units  (RSUs)</t>
  </si>
  <si>
    <t>Effects of Options &amp; Restricted Stock Units</t>
  </si>
  <si>
    <t>Shares Issued (actual realization of options)</t>
  </si>
  <si>
    <t>EBITDA</t>
  </si>
  <si>
    <t>Modeling Revenues and Costs</t>
  </si>
  <si>
    <t xml:space="preserve">  Receivables </t>
  </si>
  <si>
    <t xml:space="preserve">  Receivables</t>
  </si>
  <si>
    <t xml:space="preserve">Adjustments to reconcile net income </t>
  </si>
  <si>
    <t>Other Long Term Asset Liability Schedule</t>
  </si>
  <si>
    <t>Liability</t>
  </si>
  <si>
    <t>Implied Share Price</t>
  </si>
</sst>
</file>

<file path=xl/styles.xml><?xml version="1.0" encoding="utf-8"?>
<styleSheet xmlns="http://schemas.openxmlformats.org/spreadsheetml/2006/main">
  <numFmts count="18">
    <numFmt numFmtId="164" formatCode="_(&quot;$&quot;* #,##0_);_(&quot;$&quot;* \(#,##0\);_(&quot;$&quot;* &quot;-&quot;_);_(@_)"/>
    <numFmt numFmtId="165" formatCode="_(* #,##0_);_(* \(#,##0\);_(* &quot;-&quot;_);_(@_)"/>
    <numFmt numFmtId="166" formatCode="_(&quot;$&quot;* #,##0.00_);_(&quot;$&quot;* \(#,##0.00\);_(&quot;$&quot;* &quot;-&quot;??_);_(@_)"/>
    <numFmt numFmtId="167" formatCode="_(* #,##0.00_);_(* \(#,##0.00\);_(* &quot;-&quot;??_);_(@_)"/>
    <numFmt numFmtId="168" formatCode="_(* #,##0_);_(* \(#,##0\);_(* &quot;-&quot;??_);_(@_)"/>
    <numFmt numFmtId="169" formatCode="[$-409]mmm\-yy;@"/>
    <numFmt numFmtId="170" formatCode="_(* #,##0.0_);_(* \(#,##0.0\);_(* &quot;-&quot;??_);_(@_)"/>
    <numFmt numFmtId="171" formatCode="0.0%"/>
    <numFmt numFmtId="172" formatCode="_(&quot;$&quot;* #,##0_);_(&quot;$&quot;* \(#,##0\);_(&quot;$&quot;* &quot;-&quot;??_);_(@_)"/>
    <numFmt numFmtId="173" formatCode="#,##0.0_);\(#,##0.0\)"/>
    <numFmt numFmtId="174" formatCode="0.0"/>
    <numFmt numFmtId="175" formatCode="_(* #,##0.0_);_(* \(#,##0.0\);_(* &quot;-&quot;_);_(@_)"/>
    <numFmt numFmtId="176" formatCode="&quot;$&quot;#,##0.0_);\(&quot;$&quot;#,##0.0\)"/>
    <numFmt numFmtId="177" formatCode="0.000"/>
    <numFmt numFmtId="178" formatCode="_(* #,##0.0_);_(* \(#,##0.0\);_(* &quot;-&quot;?_);_(@_)"/>
    <numFmt numFmtId="179" formatCode="#,##0.0"/>
    <numFmt numFmtId="180" formatCode=".0\x"/>
    <numFmt numFmtId="181" formatCode="_(* #,##0.000_);_(* \(#,##0.000\);_(* &quot;-&quot;??_);_(@_)"/>
  </numFmts>
  <fonts count="4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Arial"/>
      <family val="2"/>
    </font>
    <font>
      <sz val="16"/>
      <color indexed="10"/>
      <name val="Arial"/>
      <family val="2"/>
    </font>
    <font>
      <sz val="11"/>
      <color rgb="FF0070C0"/>
      <name val="Arial"/>
      <family val="2"/>
    </font>
    <font>
      <b/>
      <sz val="18"/>
      <color theme="4" tint="-0.499984740745262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2"/>
      <color rgb="FF00B0F0"/>
      <name val="Arial"/>
      <family val="2"/>
    </font>
    <font>
      <sz val="11"/>
      <color indexed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color indexed="8"/>
      <name val="Verdana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sz val="11"/>
      <name val="Calibri"/>
      <family val="2"/>
    </font>
    <font>
      <u/>
      <sz val="11"/>
      <name val="Arial"/>
      <family val="2"/>
    </font>
    <font>
      <i/>
      <sz val="11"/>
      <name val="Arial"/>
      <family val="2"/>
    </font>
    <font>
      <sz val="11"/>
      <color indexed="48"/>
      <name val="Arial"/>
      <family val="2"/>
    </font>
    <font>
      <sz val="11"/>
      <color indexed="62"/>
      <name val="Arial"/>
      <family val="2"/>
    </font>
    <font>
      <sz val="11"/>
      <color indexed="17"/>
      <name val="Arial"/>
      <family val="2"/>
    </font>
    <font>
      <b/>
      <sz val="11"/>
      <color indexed="8"/>
      <name val="Arial"/>
      <family val="2"/>
    </font>
    <font>
      <sz val="11"/>
      <color indexed="12"/>
      <name val="Arial"/>
      <family val="2"/>
    </font>
    <font>
      <b/>
      <sz val="11"/>
      <color indexed="57"/>
      <name val="Arial"/>
      <family val="2"/>
    </font>
    <font>
      <b/>
      <sz val="11"/>
      <color indexed="17"/>
      <name val="Arial"/>
      <family val="2"/>
    </font>
    <font>
      <sz val="11"/>
      <color indexed="57"/>
      <name val="Arial"/>
      <family val="2"/>
    </font>
    <font>
      <sz val="11"/>
      <color indexed="18"/>
      <name val="Arial"/>
      <family val="2"/>
    </font>
    <font>
      <b/>
      <u/>
      <sz val="11"/>
      <name val="Arial"/>
      <family val="2"/>
    </font>
    <font>
      <sz val="11"/>
      <color rgb="FF00B050"/>
      <name val="Arial"/>
      <family val="2"/>
    </font>
    <font>
      <b/>
      <sz val="11"/>
      <color theme="6" tint="-0.499984740745262"/>
      <name val="Arial"/>
      <family val="2"/>
    </font>
    <font>
      <b/>
      <sz val="11"/>
      <color indexed="12"/>
      <name val="Arial"/>
      <family val="2"/>
    </font>
    <font>
      <b/>
      <u/>
      <sz val="11"/>
      <color rgb="FF00B0F0"/>
      <name val="Arial"/>
      <family val="2"/>
    </font>
    <font>
      <b/>
      <u/>
      <sz val="12"/>
      <color rgb="FF00B0F0"/>
      <name val="Arial"/>
      <family val="2"/>
    </font>
    <font>
      <i/>
      <sz val="10"/>
      <color rgb="FF0070C0"/>
      <name val="Arial"/>
      <family val="2"/>
    </font>
    <font>
      <i/>
      <sz val="11"/>
      <color rgb="FF0070C0"/>
      <name val="Arial"/>
      <family val="2"/>
    </font>
    <font>
      <b/>
      <u/>
      <sz val="11"/>
      <color theme="1"/>
      <name val="Calibri"/>
      <family val="2"/>
      <scheme val="minor"/>
    </font>
    <font>
      <b/>
      <u/>
      <sz val="11"/>
      <color theme="1"/>
      <name val="Arial"/>
      <family val="2"/>
    </font>
    <font>
      <sz val="11"/>
      <color theme="6" tint="-0.499984740745262"/>
      <name val="Arial"/>
      <family val="2"/>
    </font>
    <font>
      <i/>
      <sz val="11"/>
      <color theme="1"/>
      <name val="Arial"/>
      <family val="2"/>
    </font>
    <font>
      <i/>
      <sz val="11"/>
      <color indexed="8"/>
      <name val="Arial"/>
      <family val="2"/>
    </font>
    <font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9">
    <xf numFmtId="0" fontId="0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1" fillId="0" borderId="0"/>
    <xf numFmtId="166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14" fillId="0" borderId="0">
      <alignment vertical="center"/>
      <protection locked="0"/>
    </xf>
    <xf numFmtId="167" fontId="16" fillId="0" borderId="0" applyFont="0" applyFill="0" applyBorder="0" applyAlignment="0" applyProtection="0"/>
    <xf numFmtId="9" fontId="16" fillId="0" borderId="0" applyFont="0" applyFill="0" applyBorder="0" applyAlignment="0" applyProtection="0"/>
  </cellStyleXfs>
  <cellXfs count="320">
    <xf numFmtId="0" fontId="0" fillId="0" borderId="0" xfId="0"/>
    <xf numFmtId="0" fontId="3" fillId="0" borderId="0" xfId="0" quotePrefix="1" applyFont="1" applyAlignment="1">
      <alignment horizontal="left"/>
    </xf>
    <xf numFmtId="0" fontId="2" fillId="0" borderId="1" xfId="0" applyFont="1" applyBorder="1"/>
    <xf numFmtId="0" fontId="2" fillId="0" borderId="0" xfId="0" applyFont="1" applyFill="1"/>
    <xf numFmtId="0" fontId="2" fillId="0" borderId="0" xfId="0" quotePrefix="1" applyFont="1" applyFill="1" applyBorder="1" applyAlignment="1">
      <alignment horizontal="left"/>
    </xf>
    <xf numFmtId="0" fontId="2" fillId="0" borderId="0" xfId="0" quotePrefix="1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2" fillId="0" borderId="1" xfId="0" applyFont="1" applyFill="1" applyBorder="1"/>
    <xf numFmtId="168" fontId="2" fillId="0" borderId="0" xfId="1" quotePrefix="1" applyNumberFormat="1" applyFont="1" applyFill="1" applyBorder="1" applyAlignment="1">
      <alignment horizontal="left"/>
    </xf>
    <xf numFmtId="168" fontId="2" fillId="0" borderId="0" xfId="1" applyNumberFormat="1" applyFont="1" applyFill="1"/>
    <xf numFmtId="168" fontId="2" fillId="0" borderId="3" xfId="1" applyNumberFormat="1" applyFont="1" applyFill="1" applyBorder="1"/>
    <xf numFmtId="168" fontId="2" fillId="0" borderId="0" xfId="1" applyNumberFormat="1" applyFont="1" applyFill="1" applyBorder="1"/>
    <xf numFmtId="168" fontId="2" fillId="0" borderId="3" xfId="1" quotePrefix="1" applyNumberFormat="1" applyFont="1" applyFill="1" applyBorder="1" applyAlignment="1">
      <alignment horizontal="left"/>
    </xf>
    <xf numFmtId="168" fontId="2" fillId="0" borderId="0" xfId="1" applyNumberFormat="1" applyFont="1" applyFill="1" applyAlignment="1">
      <alignment horizontal="right"/>
    </xf>
    <xf numFmtId="169" fontId="2" fillId="0" borderId="1" xfId="0" applyNumberFormat="1" applyFont="1" applyBorder="1"/>
    <xf numFmtId="168" fontId="2" fillId="0" borderId="4" xfId="1" applyNumberFormat="1" applyFont="1" applyFill="1" applyBorder="1"/>
    <xf numFmtId="168" fontId="2" fillId="0" borderId="1" xfId="1" applyNumberFormat="1" applyFont="1" applyFill="1" applyBorder="1"/>
    <xf numFmtId="168" fontId="4" fillId="0" borderId="0" xfId="1" applyNumberFormat="1" applyFont="1" applyFill="1"/>
    <xf numFmtId="168" fontId="4" fillId="0" borderId="2" xfId="1" applyNumberFormat="1" applyFont="1" applyFill="1" applyBorder="1"/>
    <xf numFmtId="168" fontId="4" fillId="0" borderId="2" xfId="1" applyNumberFormat="1" applyFont="1" applyFill="1" applyBorder="1" applyAlignment="1">
      <alignment horizontal="right"/>
    </xf>
    <xf numFmtId="168" fontId="4" fillId="0" borderId="0" xfId="1" applyNumberFormat="1" applyFont="1" applyFill="1" applyAlignment="1">
      <alignment horizontal="right"/>
    </xf>
    <xf numFmtId="168" fontId="4" fillId="0" borderId="2" xfId="1" applyNumberFormat="1" applyFont="1" applyFill="1" applyBorder="1" applyAlignment="1">
      <alignment horizontal="left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8" fillId="0" borderId="0" xfId="0" quotePrefix="1" applyFont="1" applyFill="1" applyAlignment="1">
      <alignment horizontal="left"/>
    </xf>
    <xf numFmtId="171" fontId="2" fillId="0" borderId="0" xfId="2" applyNumberFormat="1" applyFont="1" applyFill="1" applyAlignment="1">
      <alignment horizontal="right"/>
    </xf>
    <xf numFmtId="171" fontId="2" fillId="0" borderId="0" xfId="2" quotePrefix="1" applyNumberFormat="1" applyFont="1" applyFill="1" applyBorder="1" applyAlignment="1">
      <alignment horizontal="right"/>
    </xf>
    <xf numFmtId="171" fontId="2" fillId="0" borderId="3" xfId="2" applyNumberFormat="1" applyFont="1" applyFill="1" applyBorder="1" applyAlignment="1">
      <alignment horizontal="right"/>
    </xf>
    <xf numFmtId="171" fontId="2" fillId="0" borderId="0" xfId="2" applyNumberFormat="1" applyFont="1" applyFill="1" applyBorder="1" applyAlignment="1">
      <alignment horizontal="right"/>
    </xf>
    <xf numFmtId="171" fontId="2" fillId="0" borderId="3" xfId="2" quotePrefix="1" applyNumberFormat="1" applyFont="1" applyFill="1" applyBorder="1" applyAlignment="1">
      <alignment horizontal="right"/>
    </xf>
    <xf numFmtId="171" fontId="2" fillId="0" borderId="4" xfId="2" applyNumberFormat="1" applyFont="1" applyFill="1" applyBorder="1" applyAlignment="1">
      <alignment horizontal="right"/>
    </xf>
    <xf numFmtId="171" fontId="2" fillId="0" borderId="2" xfId="2" applyNumberFormat="1" applyFont="1" applyFill="1" applyBorder="1" applyAlignment="1">
      <alignment horizontal="right"/>
    </xf>
    <xf numFmtId="0" fontId="9" fillId="0" borderId="0" xfId="0" quotePrefix="1" applyFont="1" applyAlignment="1">
      <alignment horizontal="left"/>
    </xf>
    <xf numFmtId="171" fontId="8" fillId="0" borderId="0" xfId="2" quotePrefix="1" applyNumberFormat="1" applyFont="1" applyFill="1" applyBorder="1" applyAlignment="1">
      <alignment horizontal="right"/>
    </xf>
    <xf numFmtId="171" fontId="8" fillId="0" borderId="3" xfId="2" applyNumberFormat="1" applyFont="1" applyFill="1" applyBorder="1" applyAlignment="1">
      <alignment horizontal="right"/>
    </xf>
    <xf numFmtId="171" fontId="8" fillId="0" borderId="4" xfId="2" applyNumberFormat="1" applyFont="1" applyFill="1" applyBorder="1" applyAlignment="1">
      <alignment horizontal="right"/>
    </xf>
    <xf numFmtId="0" fontId="10" fillId="0" borderId="1" xfId="0" applyFont="1" applyBorder="1"/>
    <xf numFmtId="0" fontId="2" fillId="0" borderId="0" xfId="0" quotePrefix="1" applyFont="1" applyFill="1" applyAlignment="1">
      <alignment horizontal="left" wrapText="1" indent="4"/>
    </xf>
    <xf numFmtId="0" fontId="8" fillId="0" borderId="0" xfId="0" applyFont="1" applyFill="1"/>
    <xf numFmtId="0" fontId="10" fillId="0" borderId="1" xfId="0" applyFont="1" applyFill="1" applyBorder="1"/>
    <xf numFmtId="168" fontId="2" fillId="0" borderId="0" xfId="1" applyNumberFormat="1" applyFont="1" applyFill="1" applyAlignment="1"/>
    <xf numFmtId="168" fontId="2" fillId="0" borderId="0" xfId="1" quotePrefix="1" applyNumberFormat="1" applyFont="1" applyFill="1" applyAlignment="1">
      <alignment horizontal="left"/>
    </xf>
    <xf numFmtId="0" fontId="2" fillId="0" borderId="1" xfId="0" applyFont="1" applyFill="1" applyBorder="1" applyAlignment="1"/>
    <xf numFmtId="168" fontId="2" fillId="0" borderId="0" xfId="1" quotePrefix="1" applyNumberFormat="1" applyFont="1" applyFill="1" applyAlignment="1">
      <alignment horizontal="right"/>
    </xf>
    <xf numFmtId="168" fontId="2" fillId="0" borderId="1" xfId="1" applyNumberFormat="1" applyFont="1" applyFill="1" applyBorder="1" applyAlignment="1"/>
    <xf numFmtId="168" fontId="8" fillId="0" borderId="0" xfId="1" applyNumberFormat="1" applyFont="1" applyFill="1"/>
    <xf numFmtId="168" fontId="2" fillId="0" borderId="4" xfId="1" applyNumberFormat="1" applyFont="1" applyFill="1" applyBorder="1" applyAlignment="1">
      <alignment horizontal="left"/>
    </xf>
    <xf numFmtId="168" fontId="4" fillId="0" borderId="0" xfId="1" applyNumberFormat="1" applyFont="1" applyFill="1" applyAlignment="1"/>
    <xf numFmtId="168" fontId="4" fillId="0" borderId="0" xfId="1" quotePrefix="1" applyNumberFormat="1" applyFont="1" applyFill="1" applyAlignment="1">
      <alignment horizontal="left"/>
    </xf>
    <xf numFmtId="168" fontId="4" fillId="0" borderId="2" xfId="1" applyNumberFormat="1" applyFont="1" applyFill="1" applyBorder="1" applyAlignment="1"/>
    <xf numFmtId="168" fontId="4" fillId="0" borderId="2" xfId="1" quotePrefix="1" applyNumberFormat="1" applyFont="1" applyFill="1" applyBorder="1" applyAlignment="1">
      <alignment horizontal="left"/>
    </xf>
    <xf numFmtId="168" fontId="4" fillId="0" borderId="0" xfId="1" applyNumberFormat="1" applyFont="1" applyFill="1" applyBorder="1" applyAlignment="1"/>
    <xf numFmtId="168" fontId="4" fillId="0" borderId="0" xfId="1" quotePrefix="1" applyNumberFormat="1" applyFont="1" applyFill="1" applyBorder="1" applyAlignment="1">
      <alignment horizontal="left"/>
    </xf>
    <xf numFmtId="167" fontId="6" fillId="0" borderId="0" xfId="0" applyNumberFormat="1" applyFont="1"/>
    <xf numFmtId="0" fontId="11" fillId="0" borderId="0" xfId="3" applyFill="1"/>
    <xf numFmtId="0" fontId="12" fillId="0" borderId="0" xfId="3" applyFont="1" applyFill="1"/>
    <xf numFmtId="0" fontId="13" fillId="0" borderId="0" xfId="3" applyFont="1" applyFill="1"/>
    <xf numFmtId="173" fontId="13" fillId="0" borderId="0" xfId="3" applyNumberFormat="1" applyFont="1" applyFill="1"/>
    <xf numFmtId="0" fontId="11" fillId="0" borderId="0" xfId="3" applyFill="1" applyBorder="1"/>
    <xf numFmtId="173" fontId="12" fillId="0" borderId="0" xfId="3" applyNumberFormat="1" applyFont="1" applyFill="1"/>
    <xf numFmtId="169" fontId="8" fillId="0" borderId="1" xfId="0" applyNumberFormat="1" applyFont="1" applyBorder="1"/>
    <xf numFmtId="0" fontId="2" fillId="0" borderId="0" xfId="3" applyFont="1" applyFill="1"/>
    <xf numFmtId="0" fontId="8" fillId="0" borderId="0" xfId="3" applyFont="1" applyFill="1"/>
    <xf numFmtId="172" fontId="4" fillId="0" borderId="0" xfId="4" applyNumberFormat="1" applyFont="1" applyFill="1"/>
    <xf numFmtId="173" fontId="2" fillId="0" borderId="0" xfId="3" applyNumberFormat="1" applyFont="1" applyFill="1"/>
    <xf numFmtId="0" fontId="2" fillId="0" borderId="0" xfId="3" applyFont="1" applyFill="1" applyAlignment="1">
      <alignment horizontal="left" indent="2"/>
    </xf>
    <xf numFmtId="37" fontId="4" fillId="0" borderId="0" xfId="3" applyNumberFormat="1" applyFont="1" applyFill="1"/>
    <xf numFmtId="0" fontId="4" fillId="0" borderId="0" xfId="3" applyFont="1" applyFill="1"/>
    <xf numFmtId="168" fontId="4" fillId="0" borderId="0" xfId="5" applyNumberFormat="1" applyFont="1" applyFill="1" applyAlignment="1"/>
    <xf numFmtId="165" fontId="4" fillId="0" borderId="0" xfId="5" applyNumberFormat="1" applyFont="1" applyAlignment="1">
      <alignment horizontal="right"/>
    </xf>
    <xf numFmtId="37" fontId="4" fillId="0" borderId="0" xfId="5" applyNumberFormat="1" applyFont="1" applyFill="1"/>
    <xf numFmtId="37" fontId="2" fillId="0" borderId="0" xfId="3" applyNumberFormat="1" applyFont="1" applyFill="1"/>
    <xf numFmtId="0" fontId="2" fillId="0" borderId="0" xfId="3" applyFont="1" applyFill="1" applyBorder="1" applyAlignment="1">
      <alignment horizontal="left" indent="2"/>
    </xf>
    <xf numFmtId="0" fontId="2" fillId="0" borderId="0" xfId="3" applyFont="1" applyFill="1" applyBorder="1"/>
    <xf numFmtId="37" fontId="4" fillId="0" borderId="0" xfId="3" applyNumberFormat="1" applyFont="1" applyFill="1" applyBorder="1"/>
    <xf numFmtId="0" fontId="4" fillId="0" borderId="0" xfId="3" applyFont="1" applyFill="1" applyBorder="1"/>
    <xf numFmtId="37" fontId="4" fillId="0" borderId="2" xfId="3" applyNumberFormat="1" applyFont="1" applyFill="1" applyBorder="1"/>
    <xf numFmtId="37" fontId="2" fillId="0" borderId="4" xfId="3" applyNumberFormat="1" applyFont="1" applyFill="1" applyBorder="1"/>
    <xf numFmtId="172" fontId="8" fillId="0" borderId="5" xfId="4" applyNumberFormat="1" applyFont="1" applyFill="1" applyBorder="1"/>
    <xf numFmtId="172" fontId="2" fillId="0" borderId="5" xfId="4" applyNumberFormat="1" applyFont="1" applyFill="1" applyBorder="1"/>
    <xf numFmtId="167" fontId="4" fillId="0" borderId="4" xfId="1" applyNumberFormat="1" applyFont="1" applyFill="1" applyBorder="1"/>
    <xf numFmtId="167" fontId="4" fillId="0" borderId="1" xfId="1" applyNumberFormat="1" applyFont="1" applyFill="1" applyBorder="1"/>
    <xf numFmtId="168" fontId="6" fillId="0" borderId="0" xfId="0" applyNumberFormat="1" applyFont="1"/>
    <xf numFmtId="170" fontId="16" fillId="0" borderId="0" xfId="7" applyNumberFormat="1" applyFont="1"/>
    <xf numFmtId="171" fontId="16" fillId="0" borderId="0" xfId="8" applyNumberFormat="1" applyFont="1"/>
    <xf numFmtId="167" fontId="0" fillId="0" borderId="0" xfId="0" applyNumberFormat="1"/>
    <xf numFmtId="165" fontId="15" fillId="0" borderId="2" xfId="0" applyNumberFormat="1" applyFont="1" applyBorder="1" applyAlignment="1">
      <alignment horizontal="right"/>
    </xf>
    <xf numFmtId="175" fontId="15" fillId="0" borderId="0" xfId="0" applyNumberFormat="1" applyFont="1"/>
    <xf numFmtId="174" fontId="17" fillId="0" borderId="0" xfId="0" applyNumberFormat="1" applyFont="1" applyFill="1" applyBorder="1"/>
    <xf numFmtId="0" fontId="0" fillId="0" borderId="0" xfId="0" applyFont="1"/>
    <xf numFmtId="0" fontId="18" fillId="0" borderId="0" xfId="0" applyFont="1"/>
    <xf numFmtId="0" fontId="19" fillId="0" borderId="0" xfId="0" applyFont="1"/>
    <xf numFmtId="171" fontId="10" fillId="0" borderId="0" xfId="8" applyNumberFormat="1" applyFont="1"/>
    <xf numFmtId="171" fontId="20" fillId="0" borderId="0" xfId="8" applyNumberFormat="1" applyFont="1"/>
    <xf numFmtId="175" fontId="6" fillId="0" borderId="0" xfId="0" applyNumberFormat="1" applyFont="1"/>
    <xf numFmtId="170" fontId="10" fillId="0" borderId="0" xfId="7" applyNumberFormat="1" applyFont="1"/>
    <xf numFmtId="0" fontId="23" fillId="0" borderId="2" xfId="0" applyFont="1" applyBorder="1"/>
    <xf numFmtId="0" fontId="6" fillId="0" borderId="2" xfId="0" applyFont="1" applyBorder="1"/>
    <xf numFmtId="0" fontId="6" fillId="0" borderId="0" xfId="0" applyFont="1" applyFill="1" applyBorder="1"/>
    <xf numFmtId="0" fontId="6" fillId="0" borderId="0" xfId="0" applyFont="1" applyAlignment="1">
      <alignment horizontal="left"/>
    </xf>
    <xf numFmtId="170" fontId="20" fillId="0" borderId="0" xfId="7" applyNumberFormat="1" applyFont="1" applyAlignment="1">
      <alignment horizontal="right"/>
    </xf>
    <xf numFmtId="0" fontId="6" fillId="0" borderId="0" xfId="0" applyFont="1" applyAlignment="1">
      <alignment horizontal="right"/>
    </xf>
    <xf numFmtId="171" fontId="6" fillId="0" borderId="0" xfId="8" applyNumberFormat="1" applyFont="1"/>
    <xf numFmtId="0" fontId="6" fillId="0" borderId="5" xfId="0" applyFont="1" applyBorder="1" applyAlignment="1">
      <alignment horizontal="left"/>
    </xf>
    <xf numFmtId="170" fontId="2" fillId="0" borderId="5" xfId="7" applyNumberFormat="1" applyFont="1" applyBorder="1" applyAlignment="1">
      <alignment horizontal="right"/>
    </xf>
    <xf numFmtId="0" fontId="6" fillId="0" borderId="5" xfId="0" applyFont="1" applyBorder="1" applyAlignment="1">
      <alignment horizontal="right"/>
    </xf>
    <xf numFmtId="0" fontId="6" fillId="0" borderId="5" xfId="0" applyFont="1" applyBorder="1"/>
    <xf numFmtId="171" fontId="6" fillId="0" borderId="0" xfId="0" applyNumberFormat="1" applyFont="1"/>
    <xf numFmtId="0" fontId="6" fillId="0" borderId="2" xfId="0" applyFont="1" applyFill="1" applyBorder="1" applyAlignment="1">
      <alignment horizontal="left"/>
    </xf>
    <xf numFmtId="165" fontId="23" fillId="0" borderId="2" xfId="0" applyNumberFormat="1" applyFont="1" applyBorder="1" applyAlignment="1">
      <alignment horizontal="right"/>
    </xf>
    <xf numFmtId="0" fontId="23" fillId="0" borderId="0" xfId="0" applyFont="1"/>
    <xf numFmtId="175" fontId="23" fillId="0" borderId="0" xfId="0" applyNumberFormat="1" applyFont="1"/>
    <xf numFmtId="0" fontId="6" fillId="0" borderId="0" xfId="0" applyFont="1" applyBorder="1"/>
    <xf numFmtId="170" fontId="6" fillId="0" borderId="0" xfId="7" applyNumberFormat="1" applyFont="1" applyBorder="1"/>
    <xf numFmtId="174" fontId="6" fillId="0" borderId="0" xfId="0" applyNumberFormat="1" applyFont="1"/>
    <xf numFmtId="170" fontId="6" fillId="0" borderId="0" xfId="7" applyNumberFormat="1" applyFont="1"/>
    <xf numFmtId="0" fontId="6" fillId="0" borderId="0" xfId="0" applyFont="1" applyAlignment="1">
      <alignment horizontal="centerContinuous"/>
    </xf>
    <xf numFmtId="176" fontId="6" fillId="0" borderId="0" xfId="0" applyNumberFormat="1" applyFont="1" applyAlignment="1">
      <alignment horizontal="right"/>
    </xf>
    <xf numFmtId="174" fontId="6" fillId="0" borderId="0" xfId="0" applyNumberFormat="1" applyFont="1" applyAlignment="1">
      <alignment horizontal="right"/>
    </xf>
    <xf numFmtId="173" fontId="6" fillId="0" borderId="0" xfId="0" applyNumberFormat="1" applyFont="1" applyAlignment="1">
      <alignment horizontal="right"/>
    </xf>
    <xf numFmtId="0" fontId="23" fillId="0" borderId="5" xfId="0" applyFont="1" applyBorder="1"/>
    <xf numFmtId="170" fontId="23" fillId="0" borderId="5" xfId="0" applyNumberFormat="1" applyFont="1" applyBorder="1"/>
    <xf numFmtId="0" fontId="23" fillId="0" borderId="6" xfId="0" applyFont="1" applyBorder="1"/>
    <xf numFmtId="170" fontId="25" fillId="0" borderId="7" xfId="7" applyNumberFormat="1" applyFont="1" applyBorder="1"/>
    <xf numFmtId="170" fontId="23" fillId="0" borderId="7" xfId="7" applyNumberFormat="1" applyFont="1" applyBorder="1"/>
    <xf numFmtId="165" fontId="26" fillId="0" borderId="0" xfId="6" applyNumberFormat="1" applyFont="1" applyBorder="1">
      <alignment vertical="center"/>
      <protection locked="0"/>
    </xf>
    <xf numFmtId="165" fontId="21" fillId="0" borderId="0" xfId="6" applyNumberFormat="1" applyFont="1" applyBorder="1">
      <alignment vertical="center"/>
      <protection locked="0"/>
    </xf>
    <xf numFmtId="0" fontId="8" fillId="0" borderId="0" xfId="0" applyFont="1" applyAlignment="1">
      <alignment horizontal="right"/>
    </xf>
    <xf numFmtId="174" fontId="2" fillId="0" borderId="0" xfId="0" applyNumberFormat="1" applyFont="1" applyFill="1" applyBorder="1"/>
    <xf numFmtId="171" fontId="24" fillId="0" borderId="0" xfId="8" applyNumberFormat="1" applyFont="1"/>
    <xf numFmtId="170" fontId="6" fillId="3" borderId="0" xfId="7" applyNumberFormat="1" applyFont="1" applyFill="1"/>
    <xf numFmtId="170" fontId="6" fillId="0" borderId="0" xfId="7" applyNumberFormat="1" applyFont="1" applyFill="1"/>
    <xf numFmtId="170" fontId="24" fillId="0" borderId="0" xfId="7" applyNumberFormat="1" applyFont="1" applyFill="1"/>
    <xf numFmtId="170" fontId="27" fillId="0" borderId="0" xfId="7" applyNumberFormat="1" applyFont="1" applyFill="1"/>
    <xf numFmtId="170" fontId="10" fillId="0" borderId="0" xfId="7" applyNumberFormat="1" applyFont="1" applyFill="1"/>
    <xf numFmtId="0" fontId="24" fillId="0" borderId="0" xfId="0" applyFont="1"/>
    <xf numFmtId="170" fontId="22" fillId="0" borderId="0" xfId="7" applyNumberFormat="1" applyFont="1"/>
    <xf numFmtId="170" fontId="28" fillId="3" borderId="0" xfId="7" applyNumberFormat="1" applyFont="1" applyFill="1" applyBorder="1" applyAlignment="1" applyProtection="1">
      <alignment vertical="center"/>
      <protection locked="0"/>
    </xf>
    <xf numFmtId="170" fontId="22" fillId="0" borderId="0" xfId="7" applyNumberFormat="1" applyFont="1" applyBorder="1" applyAlignment="1" applyProtection="1">
      <alignment vertical="center"/>
      <protection locked="0"/>
    </xf>
    <xf numFmtId="170" fontId="10" fillId="3" borderId="0" xfId="7" applyNumberFormat="1" applyFont="1" applyFill="1"/>
    <xf numFmtId="170" fontId="2" fillId="0" borderId="0" xfId="7" applyNumberFormat="1" applyFont="1"/>
    <xf numFmtId="170" fontId="21" fillId="0" borderId="0" xfId="7" applyNumberFormat="1" applyFont="1"/>
    <xf numFmtId="171" fontId="21" fillId="0" borderId="0" xfId="0" applyNumberFormat="1" applyFont="1"/>
    <xf numFmtId="171" fontId="10" fillId="0" borderId="0" xfId="0" applyNumberFormat="1" applyFont="1"/>
    <xf numFmtId="170" fontId="8" fillId="3" borderId="0" xfId="7" applyNumberFormat="1" applyFont="1" applyFill="1" applyBorder="1" applyAlignment="1" applyProtection="1">
      <alignment vertical="center"/>
      <protection locked="0"/>
    </xf>
    <xf numFmtId="170" fontId="26" fillId="0" borderId="0" xfId="7" applyNumberFormat="1" applyFont="1" applyBorder="1" applyAlignment="1" applyProtection="1">
      <alignment vertical="center"/>
      <protection locked="0"/>
    </xf>
    <xf numFmtId="0" fontId="6" fillId="0" borderId="0" xfId="0" quotePrefix="1" applyFont="1"/>
    <xf numFmtId="170" fontId="23" fillId="0" borderId="0" xfId="7" applyNumberFormat="1" applyFont="1"/>
    <xf numFmtId="170" fontId="24" fillId="0" borderId="0" xfId="7" applyNumberFormat="1" applyFont="1" applyBorder="1"/>
    <xf numFmtId="170" fontId="24" fillId="0" borderId="2" xfId="7" applyNumberFormat="1" applyFont="1" applyBorder="1"/>
    <xf numFmtId="170" fontId="6" fillId="0" borderId="0" xfId="0" applyNumberFormat="1" applyFont="1"/>
    <xf numFmtId="10" fontId="21" fillId="0" borderId="0" xfId="0" applyNumberFormat="1" applyFont="1"/>
    <xf numFmtId="168" fontId="22" fillId="0" borderId="0" xfId="1" applyNumberFormat="1" applyFont="1"/>
    <xf numFmtId="168" fontId="6" fillId="0" borderId="0" xfId="1" applyNumberFormat="1" applyFont="1"/>
    <xf numFmtId="168" fontId="23" fillId="0" borderId="0" xfId="1" applyNumberFormat="1" applyFont="1"/>
    <xf numFmtId="168" fontId="10" fillId="0" borderId="0" xfId="1" applyNumberFormat="1" applyFont="1"/>
    <xf numFmtId="168" fontId="0" fillId="0" borderId="0" xfId="1" applyNumberFormat="1" applyFont="1"/>
    <xf numFmtId="171" fontId="10" fillId="0" borderId="0" xfId="2" applyNumberFormat="1" applyFont="1"/>
    <xf numFmtId="0" fontId="8" fillId="0" borderId="5" xfId="0" applyFont="1" applyBorder="1"/>
    <xf numFmtId="168" fontId="6" fillId="0" borderId="5" xfId="1" applyNumberFormat="1" applyFont="1" applyBorder="1"/>
    <xf numFmtId="168" fontId="10" fillId="0" borderId="5" xfId="1" applyNumberFormat="1" applyFont="1" applyBorder="1"/>
    <xf numFmtId="168" fontId="8" fillId="0" borderId="8" xfId="1" applyNumberFormat="1" applyFont="1" applyBorder="1"/>
    <xf numFmtId="168" fontId="23" fillId="0" borderId="8" xfId="1" applyNumberFormat="1" applyFont="1" applyBorder="1"/>
    <xf numFmtId="0" fontId="2" fillId="0" borderId="1" xfId="3" applyFont="1" applyFill="1" applyBorder="1"/>
    <xf numFmtId="0" fontId="29" fillId="0" borderId="0" xfId="0" applyFont="1"/>
    <xf numFmtId="0" fontId="7" fillId="0" borderId="8" xfId="0" applyFont="1" applyBorder="1"/>
    <xf numFmtId="165" fontId="31" fillId="0" borderId="0" xfId="6" applyNumberFormat="1" applyFont="1" applyBorder="1">
      <alignment vertical="center"/>
      <protection locked="0"/>
    </xf>
    <xf numFmtId="0" fontId="0" fillId="4" borderId="0" xfId="0" applyFill="1"/>
    <xf numFmtId="0" fontId="6" fillId="4" borderId="0" xfId="0" applyFont="1" applyFill="1"/>
    <xf numFmtId="175" fontId="6" fillId="4" borderId="0" xfId="0" applyNumberFormat="1" applyFont="1" applyFill="1"/>
    <xf numFmtId="170" fontId="10" fillId="4" borderId="0" xfId="7" applyNumberFormat="1" applyFont="1" applyFill="1"/>
    <xf numFmtId="0" fontId="32" fillId="2" borderId="0" xfId="0" applyFont="1" applyFill="1" applyAlignment="1">
      <alignment horizontal="right"/>
    </xf>
    <xf numFmtId="0" fontId="33" fillId="0" borderId="0" xfId="0" applyFont="1"/>
    <xf numFmtId="0" fontId="34" fillId="0" borderId="0" xfId="0" quotePrefix="1" applyFont="1" applyAlignment="1">
      <alignment horizontal="left"/>
    </xf>
    <xf numFmtId="0" fontId="11" fillId="0" borderId="0" xfId="0" applyFont="1" applyAlignment="1">
      <alignment vertical="top"/>
    </xf>
    <xf numFmtId="0" fontId="0" fillId="0" borderId="0" xfId="0" applyAlignment="1">
      <alignment vertical="top"/>
    </xf>
    <xf numFmtId="0" fontId="11" fillId="0" borderId="0" xfId="0" applyFont="1" applyAlignment="1">
      <alignment horizontal="left" vertical="top" indent="2"/>
    </xf>
    <xf numFmtId="0" fontId="12" fillId="0" borderId="0" xfId="0" applyFont="1" applyAlignment="1">
      <alignment vertical="top"/>
    </xf>
    <xf numFmtId="0" fontId="12" fillId="0" borderId="5" xfId="0" applyFont="1" applyBorder="1" applyAlignment="1">
      <alignment vertical="top"/>
    </xf>
    <xf numFmtId="0" fontId="7" fillId="0" borderId="5" xfId="0" applyFont="1" applyBorder="1"/>
    <xf numFmtId="0" fontId="6" fillId="0" borderId="1" xfId="0" applyFont="1" applyBorder="1"/>
    <xf numFmtId="169" fontId="12" fillId="0" borderId="1" xfId="0" applyNumberFormat="1" applyFont="1" applyBorder="1" applyAlignment="1">
      <alignment vertical="top"/>
    </xf>
    <xf numFmtId="164" fontId="4" fillId="0" borderId="0" xfId="0" applyNumberFormat="1" applyFont="1" applyAlignment="1">
      <alignment vertical="top"/>
    </xf>
    <xf numFmtId="171" fontId="19" fillId="0" borderId="0" xfId="2" applyNumberFormat="1" applyFont="1" applyAlignment="1">
      <alignment vertical="top"/>
    </xf>
    <xf numFmtId="171" fontId="36" fillId="0" borderId="0" xfId="2" applyNumberFormat="1" applyFont="1" applyAlignment="1">
      <alignment vertical="top"/>
    </xf>
    <xf numFmtId="37" fontId="4" fillId="0" borderId="0" xfId="0" applyNumberFormat="1" applyFont="1" applyAlignment="1">
      <alignment vertical="top"/>
    </xf>
    <xf numFmtId="37" fontId="2" fillId="0" borderId="0" xfId="0" applyNumberFormat="1" applyFont="1" applyAlignment="1">
      <alignment vertical="top"/>
    </xf>
    <xf numFmtId="164" fontId="8" fillId="0" borderId="5" xfId="0" applyNumberFormat="1" applyFont="1" applyBorder="1" applyAlignment="1">
      <alignment vertical="top"/>
    </xf>
    <xf numFmtId="0" fontId="35" fillId="0" borderId="0" xfId="0" applyFont="1" applyAlignment="1">
      <alignment horizontal="left" vertical="top" indent="2"/>
    </xf>
    <xf numFmtId="168" fontId="2" fillId="0" borderId="2" xfId="1" applyNumberFormat="1" applyFont="1" applyFill="1" applyBorder="1"/>
    <xf numFmtId="171" fontId="4" fillId="0" borderId="2" xfId="2" applyNumberFormat="1" applyFont="1" applyFill="1" applyBorder="1" applyAlignment="1">
      <alignment horizontal="right"/>
    </xf>
    <xf numFmtId="9" fontId="4" fillId="0" borderId="0" xfId="0" applyNumberFormat="1" applyFont="1"/>
    <xf numFmtId="171" fontId="4" fillId="0" borderId="0" xfId="0" applyNumberFormat="1" applyFont="1"/>
    <xf numFmtId="171" fontId="6" fillId="0" borderId="0" xfId="2" applyNumberFormat="1" applyFont="1"/>
    <xf numFmtId="168" fontId="2" fillId="0" borderId="2" xfId="1" applyNumberFormat="1" applyFont="1" applyFill="1" applyBorder="1" applyAlignment="1">
      <alignment horizontal="left"/>
    </xf>
    <xf numFmtId="168" fontId="4" fillId="0" borderId="0" xfId="1" applyNumberFormat="1" applyFont="1"/>
    <xf numFmtId="171" fontId="4" fillId="0" borderId="0" xfId="2" applyNumberFormat="1" applyFont="1"/>
    <xf numFmtId="168" fontId="30" fillId="0" borderId="0" xfId="1" quotePrefix="1" applyNumberFormat="1" applyFont="1" applyFill="1" applyAlignment="1">
      <alignment horizontal="left"/>
    </xf>
    <xf numFmtId="168" fontId="30" fillId="0" borderId="2" xfId="1" quotePrefix="1" applyNumberFormat="1" applyFont="1" applyFill="1" applyBorder="1" applyAlignment="1">
      <alignment horizontal="left"/>
    </xf>
    <xf numFmtId="178" fontId="0" fillId="0" borderId="0" xfId="0" applyNumberFormat="1"/>
    <xf numFmtId="0" fontId="23" fillId="5" borderId="0" xfId="0" applyFont="1" applyFill="1"/>
    <xf numFmtId="0" fontId="15" fillId="5" borderId="0" xfId="0" applyFont="1" applyFill="1"/>
    <xf numFmtId="0" fontId="0" fillId="5" borderId="0" xfId="0" applyFill="1"/>
    <xf numFmtId="0" fontId="6" fillId="0" borderId="9" xfId="0" applyFont="1" applyBorder="1" applyAlignment="1">
      <alignment horizontal="left" indent="1"/>
    </xf>
    <xf numFmtId="0" fontId="6" fillId="0" borderId="10" xfId="0" applyFont="1" applyBorder="1"/>
    <xf numFmtId="170" fontId="6" fillId="0" borderId="10" xfId="7" applyNumberFormat="1" applyFont="1" applyBorder="1"/>
    <xf numFmtId="170" fontId="6" fillId="0" borderId="11" xfId="7" applyNumberFormat="1" applyFont="1" applyBorder="1"/>
    <xf numFmtId="0" fontId="6" fillId="0" borderId="12" xfId="0" applyFont="1" applyBorder="1" applyAlignment="1">
      <alignment horizontal="left" indent="1"/>
    </xf>
    <xf numFmtId="170" fontId="6" fillId="0" borderId="13" xfId="7" applyNumberFormat="1" applyFont="1" applyBorder="1"/>
    <xf numFmtId="0" fontId="6" fillId="0" borderId="14" xfId="0" applyFont="1" applyBorder="1" applyAlignment="1">
      <alignment horizontal="left" indent="1"/>
    </xf>
    <xf numFmtId="170" fontId="6" fillId="0" borderId="1" xfId="7" applyNumberFormat="1" applyFont="1" applyBorder="1"/>
    <xf numFmtId="170" fontId="6" fillId="0" borderId="15" xfId="7" applyNumberFormat="1" applyFont="1" applyBorder="1"/>
    <xf numFmtId="170" fontId="4" fillId="0" borderId="0" xfId="7" applyNumberFormat="1" applyFont="1" applyFill="1"/>
    <xf numFmtId="168" fontId="30" fillId="0" borderId="0" xfId="1" applyNumberFormat="1" applyFont="1" applyFill="1"/>
    <xf numFmtId="167" fontId="2" fillId="0" borderId="4" xfId="1" applyNumberFormat="1" applyFont="1" applyFill="1" applyBorder="1"/>
    <xf numFmtId="167" fontId="2" fillId="0" borderId="1" xfId="1" applyNumberFormat="1" applyFont="1" applyFill="1" applyBorder="1"/>
    <xf numFmtId="172" fontId="30" fillId="0" borderId="0" xfId="4" applyNumberFormat="1" applyFont="1" applyFill="1"/>
    <xf numFmtId="0" fontId="30" fillId="0" borderId="0" xfId="3" applyFont="1" applyFill="1"/>
    <xf numFmtId="165" fontId="30" fillId="0" borderId="0" xfId="5" applyNumberFormat="1" applyFont="1" applyAlignment="1">
      <alignment horizontal="right"/>
    </xf>
    <xf numFmtId="37" fontId="30" fillId="0" borderId="0" xfId="5" applyNumberFormat="1" applyFont="1" applyFill="1"/>
    <xf numFmtId="37" fontId="30" fillId="0" borderId="0" xfId="3" applyNumberFormat="1" applyFont="1" applyFill="1"/>
    <xf numFmtId="37" fontId="30" fillId="0" borderId="2" xfId="3" applyNumberFormat="1" applyFont="1" applyFill="1" applyBorder="1"/>
    <xf numFmtId="170" fontId="30" fillId="0" borderId="0" xfId="1" applyNumberFormat="1" applyFont="1" applyFill="1"/>
    <xf numFmtId="168" fontId="30" fillId="0" borderId="0" xfId="1" applyNumberFormat="1" applyFont="1" applyFill="1" applyAlignment="1"/>
    <xf numFmtId="170" fontId="24" fillId="0" borderId="0" xfId="7" applyNumberFormat="1" applyFont="1" applyFill="1" applyBorder="1"/>
    <xf numFmtId="170" fontId="24" fillId="0" borderId="2" xfId="7" applyNumberFormat="1" applyFont="1" applyFill="1" applyBorder="1"/>
    <xf numFmtId="0" fontId="37" fillId="0" borderId="0" xfId="0" applyFont="1"/>
    <xf numFmtId="37" fontId="11" fillId="0" borderId="0" xfId="0" applyNumberFormat="1" applyFont="1" applyAlignment="1">
      <alignment vertical="top"/>
    </xf>
    <xf numFmtId="37" fontId="12" fillId="0" borderId="0" xfId="0" applyNumberFormat="1" applyFont="1" applyAlignment="1">
      <alignment vertical="top"/>
    </xf>
    <xf numFmtId="170" fontId="28" fillId="4" borderId="0" xfId="7" applyNumberFormat="1" applyFont="1" applyFill="1" applyBorder="1" applyAlignment="1" applyProtection="1">
      <alignment vertical="center"/>
      <protection locked="0"/>
    </xf>
    <xf numFmtId="170" fontId="10" fillId="0" borderId="0" xfId="1" applyNumberFormat="1" applyFont="1" applyFill="1"/>
    <xf numFmtId="0" fontId="6" fillId="0" borderId="0" xfId="0" applyFont="1" applyFill="1"/>
    <xf numFmtId="168" fontId="6" fillId="0" borderId="0" xfId="0" applyNumberFormat="1" applyFont="1" applyFill="1"/>
    <xf numFmtId="0" fontId="6" fillId="0" borderId="8" xfId="0" applyFont="1" applyBorder="1"/>
    <xf numFmtId="170" fontId="10" fillId="0" borderId="8" xfId="7" applyNumberFormat="1" applyFont="1" applyBorder="1"/>
    <xf numFmtId="0" fontId="2" fillId="0" borderId="0" xfId="0" applyFont="1" applyFill="1" applyBorder="1"/>
    <xf numFmtId="167" fontId="4" fillId="0" borderId="0" xfId="1" applyNumberFormat="1" applyFont="1" applyFill="1" applyBorder="1"/>
    <xf numFmtId="167" fontId="2" fillId="0" borderId="0" xfId="1" applyNumberFormat="1" applyFont="1" applyFill="1" applyBorder="1"/>
    <xf numFmtId="0" fontId="7" fillId="0" borderId="0" xfId="0" applyFont="1" applyFill="1"/>
    <xf numFmtId="170" fontId="30" fillId="0" borderId="0" xfId="1" applyNumberFormat="1" applyFont="1" applyFill="1" applyBorder="1"/>
    <xf numFmtId="167" fontId="2" fillId="0" borderId="2" xfId="1" applyNumberFormat="1" applyFont="1" applyFill="1" applyBorder="1"/>
    <xf numFmtId="167" fontId="2" fillId="6" borderId="0" xfId="1" applyNumberFormat="1" applyFont="1" applyFill="1" applyBorder="1"/>
    <xf numFmtId="0" fontId="6" fillId="6" borderId="0" xfId="0" applyFont="1" applyFill="1"/>
    <xf numFmtId="0" fontId="8" fillId="0" borderId="0" xfId="0" applyFont="1" applyFill="1" applyAlignment="1">
      <alignment horizontal="left"/>
    </xf>
    <xf numFmtId="0" fontId="38" fillId="0" borderId="0" xfId="0" applyFont="1"/>
    <xf numFmtId="0" fontId="6" fillId="0" borderId="6" xfId="0" applyFont="1" applyFill="1" applyBorder="1"/>
    <xf numFmtId="168" fontId="6" fillId="0" borderId="7" xfId="1" applyNumberFormat="1" applyFont="1" applyFill="1" applyBorder="1"/>
    <xf numFmtId="0" fontId="0" fillId="0" borderId="0" xfId="0" applyFont="1" applyFill="1"/>
    <xf numFmtId="170" fontId="2" fillId="0" borderId="0" xfId="1" applyNumberFormat="1" applyFont="1" applyFill="1" applyBorder="1" applyAlignment="1" applyProtection="1">
      <alignment vertical="center"/>
      <protection locked="0"/>
    </xf>
    <xf numFmtId="170" fontId="28" fillId="0" borderId="0" xfId="7" applyNumberFormat="1" applyFont="1" applyFill="1" applyBorder="1" applyAlignment="1" applyProtection="1">
      <alignment vertical="center"/>
      <protection locked="0"/>
    </xf>
    <xf numFmtId="170" fontId="22" fillId="0" borderId="0" xfId="1" applyNumberFormat="1" applyFont="1" applyFill="1"/>
    <xf numFmtId="170" fontId="2" fillId="0" borderId="0" xfId="7" applyNumberFormat="1" applyFont="1" applyFill="1"/>
    <xf numFmtId="170" fontId="22" fillId="0" borderId="0" xfId="7" applyNumberFormat="1" applyFont="1" applyFill="1"/>
    <xf numFmtId="178" fontId="6" fillId="0" borderId="0" xfId="0" applyNumberFormat="1" applyFont="1" applyFill="1"/>
    <xf numFmtId="170" fontId="6" fillId="0" borderId="0" xfId="0" applyNumberFormat="1" applyFont="1" applyFill="1"/>
    <xf numFmtId="171" fontId="21" fillId="0" borderId="0" xfId="0" applyNumberFormat="1" applyFont="1" applyFill="1"/>
    <xf numFmtId="171" fontId="2" fillId="0" borderId="0" xfId="0" applyNumberFormat="1" applyFont="1" applyFill="1"/>
    <xf numFmtId="167" fontId="0" fillId="0" borderId="0" xfId="0" applyNumberFormat="1" applyFont="1" applyFill="1"/>
    <xf numFmtId="167" fontId="6" fillId="0" borderId="0" xfId="0" applyNumberFormat="1" applyFont="1" applyFill="1"/>
    <xf numFmtId="10" fontId="21" fillId="0" borderId="0" xfId="0" applyNumberFormat="1" applyFont="1" applyFill="1"/>
    <xf numFmtId="165" fontId="22" fillId="0" borderId="0" xfId="6" applyNumberFormat="1" applyFont="1" applyBorder="1">
      <alignment vertical="center"/>
      <protection locked="0"/>
    </xf>
    <xf numFmtId="171" fontId="2" fillId="0" borderId="0" xfId="8" applyNumberFormat="1" applyFont="1"/>
    <xf numFmtId="0" fontId="0" fillId="0" borderId="5" xfId="0" applyBorder="1"/>
    <xf numFmtId="0" fontId="0" fillId="0" borderId="2" xfId="0" applyBorder="1"/>
    <xf numFmtId="168" fontId="22" fillId="0" borderId="8" xfId="1" applyNumberFormat="1" applyFont="1" applyBorder="1"/>
    <xf numFmtId="170" fontId="4" fillId="0" borderId="0" xfId="1" applyNumberFormat="1" applyFont="1"/>
    <xf numFmtId="170" fontId="10" fillId="2" borderId="0" xfId="7" applyNumberFormat="1" applyFont="1" applyFill="1"/>
    <xf numFmtId="170" fontId="39" fillId="0" borderId="0" xfId="1" applyNumberFormat="1" applyFont="1"/>
    <xf numFmtId="170" fontId="4" fillId="0" borderId="0" xfId="7" applyNumberFormat="1" applyFont="1"/>
    <xf numFmtId="170" fontId="4" fillId="0" borderId="0" xfId="7" applyNumberFormat="1" applyFont="1" applyBorder="1" applyAlignment="1" applyProtection="1">
      <alignment vertical="center"/>
      <protection locked="0"/>
    </xf>
    <xf numFmtId="167" fontId="22" fillId="0" borderId="0" xfId="1" applyFont="1"/>
    <xf numFmtId="168" fontId="28" fillId="3" borderId="0" xfId="1" applyNumberFormat="1" applyFont="1" applyFill="1" applyBorder="1" applyAlignment="1" applyProtection="1">
      <alignment vertical="center"/>
      <protection locked="0"/>
    </xf>
    <xf numFmtId="168" fontId="10" fillId="3" borderId="0" xfId="1" applyNumberFormat="1" applyFont="1" applyFill="1"/>
    <xf numFmtId="168" fontId="21" fillId="0" borderId="0" xfId="1" applyNumberFormat="1" applyFont="1" applyFill="1"/>
    <xf numFmtId="168" fontId="2" fillId="0" borderId="0" xfId="1" applyNumberFormat="1" applyFont="1" applyBorder="1"/>
    <xf numFmtId="168" fontId="24" fillId="0" borderId="0" xfId="1" applyNumberFormat="1" applyFont="1"/>
    <xf numFmtId="168" fontId="24" fillId="0" borderId="0" xfId="1" applyNumberFormat="1" applyFont="1" applyFill="1"/>
    <xf numFmtId="168" fontId="10" fillId="0" borderId="0" xfId="1" applyNumberFormat="1" applyFont="1" applyFill="1"/>
    <xf numFmtId="168" fontId="24" fillId="0" borderId="0" xfId="1" applyNumberFormat="1" applyFont="1" applyBorder="1"/>
    <xf numFmtId="168" fontId="30" fillId="0" borderId="0" xfId="1" applyNumberFormat="1" applyFont="1" applyFill="1" applyBorder="1"/>
    <xf numFmtId="168" fontId="21" fillId="0" borderId="0" xfId="1" applyNumberFormat="1" applyFont="1"/>
    <xf numFmtId="168" fontId="24" fillId="0" borderId="0" xfId="1" applyNumberFormat="1" applyFont="1" applyFill="1" applyBorder="1"/>
    <xf numFmtId="168" fontId="2" fillId="0" borderId="0" xfId="1" applyNumberFormat="1" applyFont="1" applyBorder="1" applyAlignment="1" applyProtection="1">
      <alignment vertical="center"/>
      <protection locked="0"/>
    </xf>
    <xf numFmtId="168" fontId="22" fillId="0" borderId="0" xfId="1" applyNumberFormat="1" applyFont="1" applyBorder="1" applyAlignment="1" applyProtection="1">
      <alignment vertical="center"/>
      <protection locked="0"/>
    </xf>
    <xf numFmtId="168" fontId="6" fillId="0" borderId="0" xfId="1" applyNumberFormat="1" applyFont="1" applyFill="1"/>
    <xf numFmtId="177" fontId="4" fillId="0" borderId="0" xfId="0" applyNumberFormat="1" applyFont="1"/>
    <xf numFmtId="180" fontId="2" fillId="0" borderId="0" xfId="1" applyNumberFormat="1" applyFont="1" applyFill="1"/>
    <xf numFmtId="180" fontId="4" fillId="0" borderId="0" xfId="1" applyNumberFormat="1" applyFont="1" applyFill="1"/>
    <xf numFmtId="181" fontId="10" fillId="0" borderId="0" xfId="1" applyNumberFormat="1" applyFont="1" applyFill="1"/>
    <xf numFmtId="168" fontId="4" fillId="0" borderId="0" xfId="1" applyNumberFormat="1" applyFont="1" applyFill="1" applyBorder="1"/>
    <xf numFmtId="179" fontId="2" fillId="0" borderId="0" xfId="0" applyNumberFormat="1" applyFont="1" applyBorder="1"/>
    <xf numFmtId="167" fontId="4" fillId="0" borderId="0" xfId="1" applyNumberFormat="1" applyFont="1" applyAlignment="1">
      <alignment vertical="top"/>
    </xf>
    <xf numFmtId="168" fontId="10" fillId="6" borderId="0" xfId="1" applyNumberFormat="1" applyFont="1" applyFill="1"/>
    <xf numFmtId="168" fontId="6" fillId="6" borderId="0" xfId="1" applyNumberFormat="1" applyFont="1" applyFill="1"/>
    <xf numFmtId="168" fontId="2" fillId="6" borderId="0" xfId="1" applyNumberFormat="1" applyFont="1" applyFill="1" applyBorder="1"/>
    <xf numFmtId="170" fontId="4" fillId="0" borderId="0" xfId="1" applyNumberFormat="1" applyFont="1" applyBorder="1"/>
    <xf numFmtId="167" fontId="4" fillId="0" borderId="0" xfId="1" applyNumberFormat="1" applyFont="1" applyFill="1"/>
    <xf numFmtId="0" fontId="40" fillId="0" borderId="0" xfId="0" applyFont="1"/>
    <xf numFmtId="168" fontId="41" fillId="0" borderId="0" xfId="1" applyNumberFormat="1" applyFont="1"/>
    <xf numFmtId="168" fontId="40" fillId="0" borderId="0" xfId="1" applyNumberFormat="1" applyFont="1"/>
    <xf numFmtId="0" fontId="42" fillId="0" borderId="0" xfId="0" applyFont="1"/>
    <xf numFmtId="170" fontId="10" fillId="4" borderId="0" xfId="1" applyNumberFormat="1" applyFont="1" applyFill="1"/>
    <xf numFmtId="170" fontId="28" fillId="4" borderId="0" xfId="1" applyNumberFormat="1" applyFont="1" applyFill="1" applyBorder="1" applyAlignment="1" applyProtection="1">
      <alignment vertical="center"/>
      <protection locked="0"/>
    </xf>
    <xf numFmtId="170" fontId="4" fillId="0" borderId="0" xfId="1" applyNumberFormat="1" applyFont="1" applyFill="1" applyBorder="1" applyAlignment="1" applyProtection="1">
      <alignment vertical="center"/>
      <protection locked="0"/>
    </xf>
    <xf numFmtId="170" fontId="4" fillId="0" borderId="0" xfId="1" applyNumberFormat="1" applyFont="1" applyAlignment="1">
      <alignment vertical="top"/>
    </xf>
    <xf numFmtId="0" fontId="6" fillId="0" borderId="4" xfId="0" applyFont="1" applyBorder="1"/>
    <xf numFmtId="170" fontId="24" fillId="4" borderId="4" xfId="7" applyNumberFormat="1" applyFont="1" applyFill="1" applyBorder="1"/>
    <xf numFmtId="170" fontId="24" fillId="0" borderId="4" xfId="7" applyNumberFormat="1" applyFont="1" applyFill="1" applyBorder="1"/>
    <xf numFmtId="170" fontId="2" fillId="0" borderId="4" xfId="1" applyNumberFormat="1" applyFont="1" applyBorder="1" applyAlignment="1">
      <alignment vertical="top"/>
    </xf>
    <xf numFmtId="170" fontId="2" fillId="0" borderId="5" xfId="7" applyNumberFormat="1" applyFont="1" applyBorder="1" applyAlignment="1" applyProtection="1">
      <alignment vertical="center"/>
      <protection locked="0"/>
    </xf>
    <xf numFmtId="170" fontId="2" fillId="0" borderId="5" xfId="7" applyNumberFormat="1" applyFont="1" applyFill="1" applyBorder="1" applyAlignment="1" applyProtection="1">
      <alignment vertical="center"/>
      <protection locked="0"/>
    </xf>
    <xf numFmtId="170" fontId="4" fillId="0" borderId="5" xfId="7" applyNumberFormat="1" applyFont="1" applyBorder="1" applyAlignment="1" applyProtection="1">
      <alignment vertical="center"/>
      <protection locked="0"/>
    </xf>
    <xf numFmtId="170" fontId="4" fillId="0" borderId="0" xfId="0" applyNumberFormat="1" applyFont="1" applyFill="1"/>
    <xf numFmtId="10" fontId="4" fillId="0" borderId="0" xfId="2" applyNumberFormat="1" applyFont="1" applyAlignment="1">
      <alignment vertical="top"/>
    </xf>
    <xf numFmtId="164" fontId="2" fillId="0" borderId="5" xfId="0" applyNumberFormat="1" applyFont="1" applyBorder="1" applyAlignment="1">
      <alignment vertical="top"/>
    </xf>
    <xf numFmtId="168" fontId="4" fillId="0" borderId="0" xfId="1" applyNumberFormat="1" applyFont="1" applyFill="1" applyAlignment="1">
      <alignment horizontal="left"/>
    </xf>
    <xf numFmtId="37" fontId="2" fillId="2" borderId="0" xfId="3" applyNumberFormat="1" applyFont="1" applyFill="1"/>
    <xf numFmtId="168" fontId="2" fillId="2" borderId="0" xfId="1" applyNumberFormat="1" applyFont="1" applyFill="1"/>
  </cellXfs>
  <cellStyles count="9">
    <cellStyle name="Comma" xfId="1" builtinId="3"/>
    <cellStyle name="Comma 2" xfId="5"/>
    <cellStyle name="Comma 3" xfId="7"/>
    <cellStyle name="Currency 2" xfId="4"/>
    <cellStyle name="Normal" xfId="0" builtinId="0"/>
    <cellStyle name="Normal 2" xfId="3"/>
    <cellStyle name="Normal_BJH (Dec 2007)" xfId="6"/>
    <cellStyle name="Percent" xfId="2" builtinId="5"/>
    <cellStyle name="Percent 2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omeshwar/Desktop/Colgate-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omeshwar/Desktop/Colgate-Financial-Model-Solved-wallstreetmojo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over"/>
      <sheetName val="IS"/>
      <sheetName val="BS"/>
      <sheetName val="CF"/>
      <sheetName val="Dep Capex "/>
      <sheetName val="Amort Intangible"/>
      <sheetName val="Working Capital"/>
      <sheetName val="Other Long Term Asset Liability"/>
      <sheetName val="Shareholders Equity"/>
      <sheetName val="Shares Outstanding "/>
      <sheetName val="Debt"/>
    </sheetNames>
    <sheetDataSet>
      <sheetData sheetId="0"/>
      <sheetData sheetId="1">
        <row r="17">
          <cell r="J17">
            <v>2576.0222218886506</v>
          </cell>
          <cell r="K17">
            <v>2628.2746382131963</v>
          </cell>
          <cell r="L17">
            <v>2679.4871886452534</v>
          </cell>
          <cell r="M17">
            <v>2739.6822497237563</v>
          </cell>
          <cell r="N17">
            <v>2793.2907123386312</v>
          </cell>
        </row>
      </sheetData>
      <sheetData sheetId="2"/>
      <sheetData sheetId="3">
        <row r="33">
          <cell r="J33">
            <v>2250.518478597704</v>
          </cell>
          <cell r="K33">
            <v>2381.5118274766592</v>
          </cell>
          <cell r="L33">
            <v>2445.8554642553481</v>
          </cell>
          <cell r="M33">
            <v>2526.4573256895392</v>
          </cell>
          <cell r="N33">
            <v>2600.8917725187316</v>
          </cell>
        </row>
        <row r="47">
          <cell r="J47">
            <v>962</v>
          </cell>
          <cell r="K47">
            <v>514.22511210165885</v>
          </cell>
          <cell r="L47">
            <v>500</v>
          </cell>
          <cell r="M47">
            <v>500.00000000000045</v>
          </cell>
          <cell r="N47">
            <v>499.99999999992679</v>
          </cell>
        </row>
        <row r="48">
          <cell r="I48">
            <v>962</v>
          </cell>
          <cell r="J48">
            <v>514.22511210165885</v>
          </cell>
          <cell r="K48">
            <v>500</v>
          </cell>
          <cell r="L48">
            <v>500</v>
          </cell>
          <cell r="M48">
            <v>500.00000000002137</v>
          </cell>
          <cell r="N48">
            <v>499.99999999995816</v>
          </cell>
        </row>
      </sheetData>
      <sheetData sheetId="4">
        <row r="7">
          <cell r="J7">
            <v>715.75277325547336</v>
          </cell>
          <cell r="K7">
            <v>730.52108372058285</v>
          </cell>
          <cell r="L7">
            <v>745.59609176999459</v>
          </cell>
          <cell r="M7">
            <v>760.98421463976945</v>
          </cell>
          <cell r="N7">
            <v>776.69200499279918</v>
          </cell>
        </row>
        <row r="12">
          <cell r="J12">
            <v>-416.15646377122221</v>
          </cell>
          <cell r="K12">
            <v>-450.79532067820594</v>
          </cell>
          <cell r="L12">
            <v>-486.14893740378687</v>
          </cell>
          <cell r="M12">
            <v>-522.23215871134823</v>
          </cell>
          <cell r="N12">
            <v>-559.06013999871664</v>
          </cell>
        </row>
        <row r="13">
          <cell r="J13">
            <v>4382.5963094842518</v>
          </cell>
          <cell r="K13">
            <v>4662.3220725266292</v>
          </cell>
          <cell r="L13">
            <v>4921.7692268928377</v>
          </cell>
          <cell r="M13">
            <v>5160.5212828212589</v>
          </cell>
          <cell r="N13">
            <v>5378.153147815342</v>
          </cell>
        </row>
      </sheetData>
      <sheetData sheetId="5">
        <row r="12">
          <cell r="J12">
            <v>-29</v>
          </cell>
          <cell r="K12">
            <v>-29</v>
          </cell>
          <cell r="L12">
            <v>-29</v>
          </cell>
          <cell r="M12">
            <v>-29</v>
          </cell>
          <cell r="N12">
            <v>-29</v>
          </cell>
        </row>
        <row r="14">
          <cell r="J14">
            <v>1467</v>
          </cell>
          <cell r="K14">
            <v>1438</v>
          </cell>
          <cell r="L14">
            <v>1409</v>
          </cell>
          <cell r="M14">
            <v>1380</v>
          </cell>
          <cell r="N14">
            <v>1351</v>
          </cell>
        </row>
      </sheetData>
      <sheetData sheetId="6">
        <row r="36">
          <cell r="J36">
            <v>-79.845689311066053</v>
          </cell>
          <cell r="K36">
            <v>-35.403483991700796</v>
          </cell>
          <cell r="L36">
            <v>-36.138717926671916</v>
          </cell>
          <cell r="M36">
            <v>-36.889335646720838</v>
          </cell>
          <cell r="N36">
            <v>-37.655661805208183</v>
          </cell>
        </row>
        <row r="37">
          <cell r="J37">
            <v>0.84807787181534877</v>
          </cell>
          <cell r="K37">
            <v>-29.384891713111756</v>
          </cell>
          <cell r="L37">
            <v>-29.995135879137706</v>
          </cell>
          <cell r="M37">
            <v>-30.618148586778261</v>
          </cell>
          <cell r="N37">
            <v>-31.254199298322874</v>
          </cell>
        </row>
        <row r="38">
          <cell r="J38">
            <v>-6.2218699124074419</v>
          </cell>
          <cell r="K38">
            <v>-16.614349273248195</v>
          </cell>
          <cell r="L38">
            <v>-16.959384055588203</v>
          </cell>
          <cell r="M38">
            <v>-17.311638228496804</v>
          </cell>
          <cell r="N38">
            <v>-17.671264147158467</v>
          </cell>
        </row>
        <row r="39">
          <cell r="J39">
            <v>-20.724242732899256</v>
          </cell>
          <cell r="K39">
            <v>32.669924364187409</v>
          </cell>
          <cell r="L39">
            <v>27.961299792092632</v>
          </cell>
          <cell r="M39">
            <v>28.54208544192079</v>
          </cell>
          <cell r="N39">
            <v>29.135025796095306</v>
          </cell>
        </row>
        <row r="40">
          <cell r="J40">
            <v>20.907725788393748</v>
          </cell>
          <cell r="K40">
            <v>5.3627427376429182</v>
          </cell>
          <cell r="L40">
            <v>5.4741122979426109</v>
          </cell>
          <cell r="M40">
            <v>5.5878121170870259</v>
          </cell>
          <cell r="N40">
            <v>5.7038913719438824</v>
          </cell>
        </row>
        <row r="41">
          <cell r="J41">
            <v>25.002456081894479</v>
          </cell>
          <cell r="K41">
            <v>41.369729690388112</v>
          </cell>
          <cell r="L41">
            <v>42.228866298414687</v>
          </cell>
          <cell r="M41">
            <v>43.105979188957008</v>
          </cell>
          <cell r="N41">
            <v>44.001447726424431</v>
          </cell>
        </row>
      </sheetData>
      <sheetData sheetId="7">
        <row r="8">
          <cell r="J8">
            <v>77</v>
          </cell>
          <cell r="K8">
            <v>77</v>
          </cell>
          <cell r="L8">
            <v>77</v>
          </cell>
          <cell r="M8">
            <v>77</v>
          </cell>
          <cell r="N8">
            <v>77</v>
          </cell>
        </row>
        <row r="9">
          <cell r="J9">
            <v>924</v>
          </cell>
          <cell r="K9">
            <v>924</v>
          </cell>
          <cell r="L9">
            <v>924</v>
          </cell>
          <cell r="M9">
            <v>924</v>
          </cell>
          <cell r="N9">
            <v>924</v>
          </cell>
        </row>
        <row r="12">
          <cell r="J12">
            <v>444</v>
          </cell>
          <cell r="K12">
            <v>444</v>
          </cell>
          <cell r="L12">
            <v>444</v>
          </cell>
          <cell r="M12">
            <v>444</v>
          </cell>
          <cell r="N12">
            <v>444</v>
          </cell>
        </row>
        <row r="13">
          <cell r="J13">
            <v>1677</v>
          </cell>
          <cell r="K13">
            <v>1677</v>
          </cell>
          <cell r="L13">
            <v>1677</v>
          </cell>
          <cell r="M13">
            <v>1677</v>
          </cell>
          <cell r="N13">
            <v>1677</v>
          </cell>
        </row>
      </sheetData>
      <sheetData sheetId="8">
        <row r="8">
          <cell r="J8">
            <v>-1500</v>
          </cell>
          <cell r="K8">
            <v>-1500</v>
          </cell>
          <cell r="L8">
            <v>-1500</v>
          </cell>
          <cell r="M8">
            <v>-1500</v>
          </cell>
          <cell r="N8">
            <v>-1500</v>
          </cell>
        </row>
        <row r="9">
          <cell r="J9">
            <v>-1317.635366496045</v>
          </cell>
          <cell r="K9">
            <v>-1344.36247744605</v>
          </cell>
          <cell r="L9">
            <v>-1370.5576969920473</v>
          </cell>
          <cell r="M9">
            <v>-1401.3474707337016</v>
          </cell>
          <cell r="N9">
            <v>-1428.7681993611643</v>
          </cell>
        </row>
        <row r="10">
          <cell r="J10">
            <v>1014.342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</row>
        <row r="18">
          <cell r="J18">
            <v>1500</v>
          </cell>
          <cell r="K18">
            <v>1500</v>
          </cell>
          <cell r="L18">
            <v>1500</v>
          </cell>
          <cell r="M18">
            <v>1500</v>
          </cell>
          <cell r="N18">
            <v>1500</v>
          </cell>
        </row>
        <row r="23">
          <cell r="J23">
            <v>1014.342</v>
          </cell>
        </row>
        <row r="30">
          <cell r="J30">
            <v>1317.635366496045</v>
          </cell>
          <cell r="K30">
            <v>1344.36247744605</v>
          </cell>
          <cell r="L30">
            <v>1370.5576969920473</v>
          </cell>
          <cell r="M30">
            <v>1401.3474707337018</v>
          </cell>
          <cell r="N30">
            <v>1428.7681993612157</v>
          </cell>
        </row>
      </sheetData>
      <sheetData sheetId="9">
        <row r="9">
          <cell r="J9">
            <v>913.81490842644257</v>
          </cell>
          <cell r="K9">
            <v>884.70344026104499</v>
          </cell>
          <cell r="L9">
            <v>857.04957579468339</v>
          </cell>
          <cell r="M9">
            <v>830.83782833178691</v>
          </cell>
          <cell r="N9">
            <v>805.90626984878622</v>
          </cell>
        </row>
        <row r="13">
          <cell r="J13">
            <v>918.94392353140313</v>
          </cell>
          <cell r="K13">
            <v>901.32235616192565</v>
          </cell>
          <cell r="L13">
            <v>872.87650802786425</v>
          </cell>
          <cell r="M13">
            <v>845.94370206323515</v>
          </cell>
          <cell r="N13">
            <v>820.37204909028651</v>
          </cell>
        </row>
      </sheetData>
      <sheetData sheetId="10">
        <row r="19">
          <cell r="J19">
            <v>0</v>
          </cell>
          <cell r="K19">
            <v>939.62553786773196</v>
          </cell>
          <cell r="L19">
            <v>679.70223273669922</v>
          </cell>
          <cell r="M19">
            <v>1038.8901450441597</v>
          </cell>
          <cell r="N19">
            <v>1022.8764268427183</v>
          </cell>
        </row>
        <row r="25">
          <cell r="J25">
            <v>-895</v>
          </cell>
          <cell r="K25">
            <v>-491</v>
          </cell>
          <cell r="L25">
            <v>-255</v>
          </cell>
          <cell r="M25">
            <v>-664</v>
          </cell>
          <cell r="N25">
            <v>-695</v>
          </cell>
        </row>
        <row r="28">
          <cell r="J28">
            <v>4258</v>
          </cell>
          <cell r="K28">
            <v>4003</v>
          </cell>
          <cell r="L28">
            <v>3339</v>
          </cell>
          <cell r="M28">
            <v>2644</v>
          </cell>
          <cell r="N28">
            <v>1944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Cover"/>
      <sheetName val="IS"/>
      <sheetName val="BS"/>
      <sheetName val="CF"/>
      <sheetName val="Dep Capex "/>
      <sheetName val="Amort Intangible"/>
      <sheetName val="Working Capital"/>
      <sheetName val="Other Long Term Asset Liability"/>
      <sheetName val="Shareholders Equity"/>
      <sheetName val="Shares Outstanding "/>
      <sheetName val="Debt"/>
    </sheetNames>
    <sheetDataSet>
      <sheetData sheetId="0" refreshError="1"/>
      <sheetData sheetId="1">
        <row r="6">
          <cell r="F6">
            <v>15564</v>
          </cell>
          <cell r="G6">
            <v>16734</v>
          </cell>
          <cell r="H6">
            <v>17085</v>
          </cell>
          <cell r="I6">
            <v>17420</v>
          </cell>
          <cell r="J6">
            <v>17893.819331386832</v>
          </cell>
          <cell r="K6">
            <v>18263.027093014571</v>
          </cell>
          <cell r="L6">
            <v>18639.902294249863</v>
          </cell>
          <cell r="M6">
            <v>19024.605365994237</v>
          </cell>
          <cell r="N6">
            <v>19417.30012481998</v>
          </cell>
        </row>
        <row r="19">
          <cell r="G19">
            <v>2431</v>
          </cell>
          <cell r="H19">
            <v>2472</v>
          </cell>
          <cell r="I19">
            <v>2241</v>
          </cell>
          <cell r="J19">
            <v>2395.7006663564453</v>
          </cell>
          <cell r="K19">
            <v>2444.2954135382724</v>
          </cell>
          <cell r="L19">
            <v>2491.9230854400857</v>
          </cell>
          <cell r="M19">
            <v>2547.9044922430935</v>
          </cell>
          <cell r="N19">
            <v>2597.7603624749272</v>
          </cell>
        </row>
        <row r="21">
          <cell r="F21">
            <v>2.1549999999999998</v>
          </cell>
          <cell r="G21">
            <v>2.4700000000000002</v>
          </cell>
          <cell r="H21">
            <v>2.57</v>
          </cell>
          <cell r="I21">
            <v>2.38</v>
          </cell>
          <cell r="J21">
            <v>2.6070150800388605</v>
          </cell>
          <cell r="K21">
            <v>2.7118992409627376</v>
          </cell>
          <cell r="L21">
            <v>2.8548403611757389</v>
          </cell>
          <cell r="M21">
            <v>3.0119078681345099</v>
          </cell>
          <cell r="N21">
            <v>3.1665637138120366</v>
          </cell>
        </row>
      </sheetData>
      <sheetData sheetId="2">
        <row r="14">
          <cell r="F14">
            <v>3693</v>
          </cell>
          <cell r="G14">
            <v>3668</v>
          </cell>
          <cell r="H14">
            <v>3842</v>
          </cell>
          <cell r="I14">
            <v>4083</v>
          </cell>
        </row>
        <row r="16">
          <cell r="I16">
            <v>1496</v>
          </cell>
        </row>
        <row r="17">
          <cell r="F17">
            <v>84</v>
          </cell>
          <cell r="G17">
            <v>115</v>
          </cell>
          <cell r="H17">
            <v>92</v>
          </cell>
          <cell r="I17">
            <v>77</v>
          </cell>
        </row>
        <row r="18">
          <cell r="F18">
            <v>472</v>
          </cell>
          <cell r="G18">
            <v>541</v>
          </cell>
          <cell r="H18">
            <v>905</v>
          </cell>
          <cell r="I18">
            <v>924</v>
          </cell>
        </row>
        <row r="24">
          <cell r="I24">
            <v>895</v>
          </cell>
        </row>
        <row r="32">
          <cell r="I32">
            <v>4749</v>
          </cell>
        </row>
        <row r="33">
          <cell r="F33">
            <v>108</v>
          </cell>
          <cell r="G33">
            <v>252</v>
          </cell>
          <cell r="H33">
            <v>293</v>
          </cell>
          <cell r="I33">
            <v>444</v>
          </cell>
        </row>
        <row r="34">
          <cell r="F34">
            <v>1704</v>
          </cell>
          <cell r="G34">
            <v>1785</v>
          </cell>
          <cell r="H34">
            <v>2049</v>
          </cell>
          <cell r="I34">
            <v>1677</v>
          </cell>
        </row>
        <row r="45">
          <cell r="F45">
            <v>2675</v>
          </cell>
          <cell r="G45">
            <v>2375</v>
          </cell>
          <cell r="H45">
            <v>2189</v>
          </cell>
          <cell r="I45">
            <v>2305</v>
          </cell>
        </row>
      </sheetData>
      <sheetData sheetId="3">
        <row r="25">
          <cell r="F25">
            <v>-550</v>
          </cell>
          <cell r="G25">
            <v>-537</v>
          </cell>
          <cell r="H25">
            <v>-565</v>
          </cell>
          <cell r="I25">
            <v>-670</v>
          </cell>
        </row>
        <row r="40">
          <cell r="F40">
            <v>-2020</v>
          </cell>
          <cell r="G40">
            <v>-1806</v>
          </cell>
          <cell r="H40">
            <v>-1943</v>
          </cell>
          <cell r="I40">
            <v>-1521</v>
          </cell>
        </row>
        <row r="41">
          <cell r="F41">
            <v>242</v>
          </cell>
          <cell r="G41">
            <v>353</v>
          </cell>
          <cell r="H41">
            <v>478</v>
          </cell>
          <cell r="I41">
            <v>339</v>
          </cell>
        </row>
      </sheetData>
      <sheetData sheetId="4" refreshError="1"/>
      <sheetData sheetId="5" refreshError="1"/>
      <sheetData sheetId="6" refreshError="1"/>
      <sheetData sheetId="7" refreshError="1"/>
      <sheetData sheetId="8">
        <row r="17">
          <cell r="J17">
            <v>30.282666573557307</v>
          </cell>
          <cell r="K17">
            <v>29.111468165397593</v>
          </cell>
          <cell r="L17">
            <v>27.653864466361583</v>
          </cell>
          <cell r="M17">
            <v>26.211747462896462</v>
          </cell>
          <cell r="N17">
            <v>24.931558483000686</v>
          </cell>
        </row>
        <row r="21">
          <cell r="J21">
            <v>24.151</v>
          </cell>
        </row>
        <row r="25">
          <cell r="J25">
            <v>2.063181818181818</v>
          </cell>
          <cell r="K25">
            <v>2.063181818181818</v>
          </cell>
          <cell r="L25">
            <v>2</v>
          </cell>
          <cell r="M25">
            <v>2</v>
          </cell>
          <cell r="N25">
            <v>2</v>
          </cell>
        </row>
      </sheetData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93"/>
  <sheetViews>
    <sheetView tabSelected="1" zoomScale="84" zoomScaleNormal="84" workbookViewId="0">
      <pane xSplit="2" ySplit="5" topLeftCell="F78" activePane="bottomRight" state="frozen"/>
      <selection pane="topRight" activeCell="C1" sqref="C1"/>
      <selection pane="bottomLeft" activeCell="A6" sqref="A6"/>
      <selection pane="bottomRight" activeCell="F104" sqref="F104"/>
    </sheetView>
  </sheetViews>
  <sheetFormatPr defaultRowHeight="14.25"/>
  <cols>
    <col min="1" max="1" width="2.85546875" style="23" customWidth="1"/>
    <col min="2" max="2" width="58.85546875" style="23" bestFit="1" customWidth="1"/>
    <col min="3" max="5" width="11.7109375" style="23" hidden="1" customWidth="1"/>
    <col min="6" max="6" width="11.7109375" style="23" customWidth="1"/>
    <col min="7" max="8" width="11.7109375" style="23" bestFit="1" customWidth="1"/>
    <col min="9" max="9" width="12.28515625" style="23" customWidth="1"/>
    <col min="10" max="10" width="11.7109375" style="23" bestFit="1" customWidth="1"/>
    <col min="11" max="11" width="11.85546875" style="23" customWidth="1"/>
    <col min="12" max="14" width="10" style="23" bestFit="1" customWidth="1"/>
    <col min="15" max="16384" width="9.140625" style="23"/>
  </cols>
  <sheetData>
    <row r="1" spans="1:16" ht="23.25">
      <c r="A1" s="22" t="s">
        <v>0</v>
      </c>
    </row>
    <row r="3" spans="1:16" ht="15.75">
      <c r="A3" s="175" t="s">
        <v>16</v>
      </c>
    </row>
    <row r="4" spans="1:16" ht="15.75">
      <c r="B4" s="34"/>
    </row>
    <row r="5" spans="1:16" ht="15.75" thickBot="1">
      <c r="B5" s="2" t="s">
        <v>17</v>
      </c>
      <c r="C5" s="62">
        <v>39447</v>
      </c>
      <c r="D5" s="62">
        <f>EOMONTH(C5,12)</f>
        <v>39813</v>
      </c>
      <c r="E5" s="62">
        <f t="shared" ref="E5:N5" si="0">EOMONTH(D5,12)</f>
        <v>40178</v>
      </c>
      <c r="F5" s="62">
        <f t="shared" si="0"/>
        <v>40543</v>
      </c>
      <c r="G5" s="62">
        <f t="shared" si="0"/>
        <v>40908</v>
      </c>
      <c r="H5" s="62">
        <f t="shared" si="0"/>
        <v>41274</v>
      </c>
      <c r="I5" s="62">
        <f t="shared" si="0"/>
        <v>41639</v>
      </c>
      <c r="J5" s="62">
        <f t="shared" si="0"/>
        <v>42004</v>
      </c>
      <c r="K5" s="62">
        <f t="shared" si="0"/>
        <v>42369</v>
      </c>
      <c r="L5" s="62">
        <f t="shared" si="0"/>
        <v>42735</v>
      </c>
      <c r="M5" s="62">
        <f t="shared" si="0"/>
        <v>43100</v>
      </c>
      <c r="N5" s="62">
        <f t="shared" si="0"/>
        <v>43465</v>
      </c>
    </row>
    <row r="6" spans="1:16" ht="15" thickBot="1">
      <c r="B6" s="3" t="s">
        <v>1</v>
      </c>
      <c r="C6" s="17">
        <v>13790</v>
      </c>
      <c r="D6" s="17">
        <v>15330</v>
      </c>
      <c r="E6" s="17">
        <v>15327</v>
      </c>
      <c r="F6" s="17">
        <v>15564</v>
      </c>
      <c r="G6" s="17">
        <v>16734</v>
      </c>
      <c r="H6" s="17">
        <v>17085</v>
      </c>
      <c r="I6" s="17">
        <v>17420</v>
      </c>
      <c r="J6" s="316">
        <f>J90</f>
        <v>17893.819331386832</v>
      </c>
      <c r="K6" s="316">
        <f t="shared" ref="K6:N6" si="1">K90</f>
        <v>18263.027093014571</v>
      </c>
      <c r="L6" s="316">
        <f t="shared" si="1"/>
        <v>18639.902294249863</v>
      </c>
      <c r="M6" s="316">
        <f t="shared" si="1"/>
        <v>19024.605365994237</v>
      </c>
      <c r="N6" s="316">
        <f t="shared" si="1"/>
        <v>19417.30012481998</v>
      </c>
    </row>
    <row r="7" spans="1:16" ht="15" thickTop="1">
      <c r="B7" s="3" t="s">
        <v>2</v>
      </c>
      <c r="C7" s="18">
        <v>6043</v>
      </c>
      <c r="D7" s="18">
        <v>6704</v>
      </c>
      <c r="E7" s="19">
        <v>6319</v>
      </c>
      <c r="F7" s="18">
        <v>6360</v>
      </c>
      <c r="G7" s="18">
        <v>7144</v>
      </c>
      <c r="H7" s="18">
        <v>7153</v>
      </c>
      <c r="I7" s="18">
        <v>7219</v>
      </c>
      <c r="J7" s="191">
        <f>J6*J31</f>
        <v>7425.9350225255348</v>
      </c>
      <c r="K7" s="191">
        <f t="shared" ref="K7:N7" si="2">K6*K31</f>
        <v>7579.1562436010463</v>
      </c>
      <c r="L7" s="191">
        <f t="shared" si="2"/>
        <v>7735.5594521136927</v>
      </c>
      <c r="M7" s="191">
        <f t="shared" si="2"/>
        <v>7895.2112268876081</v>
      </c>
      <c r="N7" s="191">
        <f t="shared" si="2"/>
        <v>8058.1795518002909</v>
      </c>
    </row>
    <row r="8" spans="1:16">
      <c r="B8" s="4" t="s">
        <v>3</v>
      </c>
      <c r="C8" s="8">
        <f t="shared" ref="C8:N8" si="3">C6-C7</f>
        <v>7747</v>
      </c>
      <c r="D8" s="8">
        <f t="shared" si="3"/>
        <v>8626</v>
      </c>
      <c r="E8" s="8">
        <f t="shared" si="3"/>
        <v>9008</v>
      </c>
      <c r="F8" s="8">
        <f t="shared" si="3"/>
        <v>9204</v>
      </c>
      <c r="G8" s="8">
        <f t="shared" si="3"/>
        <v>9590</v>
      </c>
      <c r="H8" s="8">
        <f t="shared" si="3"/>
        <v>9932</v>
      </c>
      <c r="I8" s="8">
        <f t="shared" si="3"/>
        <v>10201</v>
      </c>
      <c r="J8" s="8">
        <f t="shared" si="3"/>
        <v>10467.884308861298</v>
      </c>
      <c r="K8" s="8">
        <f t="shared" si="3"/>
        <v>10683.870849413524</v>
      </c>
      <c r="L8" s="8">
        <f t="shared" si="3"/>
        <v>10904.342842136171</v>
      </c>
      <c r="M8" s="8">
        <f t="shared" si="3"/>
        <v>11129.394139106629</v>
      </c>
      <c r="N8" s="8">
        <f t="shared" si="3"/>
        <v>11359.120573019689</v>
      </c>
    </row>
    <row r="9" spans="1:16">
      <c r="B9" s="3"/>
      <c r="C9" s="9"/>
      <c r="D9" s="9"/>
      <c r="E9" s="13"/>
      <c r="F9" s="9"/>
      <c r="G9" s="9"/>
      <c r="H9" s="9"/>
      <c r="I9" s="9"/>
    </row>
    <row r="10" spans="1:16" ht="15">
      <c r="B10" s="3" t="s">
        <v>4</v>
      </c>
      <c r="C10" s="17">
        <v>4973</v>
      </c>
      <c r="D10" s="17">
        <v>5422</v>
      </c>
      <c r="E10" s="20">
        <v>5282</v>
      </c>
      <c r="F10" s="17">
        <v>5414</v>
      </c>
      <c r="G10" s="17">
        <v>5758</v>
      </c>
      <c r="H10" s="17">
        <v>5930</v>
      </c>
      <c r="I10" s="17">
        <v>6223</v>
      </c>
      <c r="J10" s="155">
        <f>J6*J34</f>
        <v>6262.8367659853911</v>
      </c>
      <c r="K10" s="155">
        <f t="shared" ref="K10:N10" si="4">K6*K34</f>
        <v>6392.0594825550997</v>
      </c>
      <c r="L10" s="155">
        <f t="shared" si="4"/>
        <v>6523.9658029874518</v>
      </c>
      <c r="M10" s="155">
        <f t="shared" si="4"/>
        <v>6658.6118780979823</v>
      </c>
      <c r="N10" s="155">
        <f t="shared" si="4"/>
        <v>6796.0550436869926</v>
      </c>
      <c r="P10" s="24"/>
    </row>
    <row r="11" spans="1:16">
      <c r="B11" s="3" t="s">
        <v>5</v>
      </c>
      <c r="C11" s="18">
        <v>54</v>
      </c>
      <c r="D11" s="18">
        <v>103</v>
      </c>
      <c r="E11" s="19">
        <v>111</v>
      </c>
      <c r="F11" s="17">
        <v>301</v>
      </c>
      <c r="G11" s="17">
        <v>-9</v>
      </c>
      <c r="H11" s="17">
        <v>113</v>
      </c>
      <c r="I11" s="17">
        <v>422</v>
      </c>
      <c r="J11" s="155">
        <f>J35*J6</f>
        <v>447.34548328467082</v>
      </c>
      <c r="K11" s="155">
        <f t="shared" ref="K11:N11" si="5">K35*K6</f>
        <v>456.57567732536427</v>
      </c>
      <c r="L11" s="155">
        <f t="shared" si="5"/>
        <v>465.9975573562466</v>
      </c>
      <c r="M11" s="155">
        <f t="shared" si="5"/>
        <v>475.61513414985598</v>
      </c>
      <c r="N11" s="155">
        <f t="shared" si="5"/>
        <v>485.43250312049952</v>
      </c>
    </row>
    <row r="12" spans="1:16" ht="15">
      <c r="B12" s="40" t="s">
        <v>206</v>
      </c>
      <c r="C12" s="10">
        <f t="shared" ref="C12:N12" si="6">C8-C10-C11</f>
        <v>2720</v>
      </c>
      <c r="D12" s="10">
        <f t="shared" si="6"/>
        <v>3101</v>
      </c>
      <c r="E12" s="10">
        <f t="shared" si="6"/>
        <v>3615</v>
      </c>
      <c r="F12" s="10">
        <f t="shared" si="6"/>
        <v>3489</v>
      </c>
      <c r="G12" s="10">
        <f t="shared" si="6"/>
        <v>3841</v>
      </c>
      <c r="H12" s="10">
        <f t="shared" si="6"/>
        <v>3889</v>
      </c>
      <c r="I12" s="10">
        <f t="shared" si="6"/>
        <v>3556</v>
      </c>
      <c r="J12" s="10">
        <f t="shared" si="6"/>
        <v>3757.7020595912354</v>
      </c>
      <c r="K12" s="10">
        <f t="shared" si="6"/>
        <v>3835.2356895330604</v>
      </c>
      <c r="L12" s="10">
        <f t="shared" si="6"/>
        <v>3914.3794817924731</v>
      </c>
      <c r="M12" s="10">
        <f t="shared" si="6"/>
        <v>3995.1671268587907</v>
      </c>
      <c r="N12" s="10">
        <f t="shared" si="6"/>
        <v>4077.6330262121969</v>
      </c>
    </row>
    <row r="13" spans="1:16">
      <c r="B13" s="3" t="s">
        <v>7</v>
      </c>
      <c r="C13" s="18">
        <v>157</v>
      </c>
      <c r="D13" s="18">
        <v>96</v>
      </c>
      <c r="E13" s="19">
        <v>77</v>
      </c>
      <c r="F13" s="18">
        <v>59</v>
      </c>
      <c r="G13" s="18">
        <v>52</v>
      </c>
      <c r="H13" s="18">
        <v>15</v>
      </c>
      <c r="I13" s="18">
        <v>-9</v>
      </c>
      <c r="J13" s="18"/>
      <c r="K13" s="18"/>
      <c r="L13" s="18"/>
      <c r="M13" s="18"/>
      <c r="N13" s="18"/>
    </row>
    <row r="14" spans="1:16">
      <c r="B14" s="3"/>
      <c r="C14" s="11"/>
      <c r="D14" s="11"/>
      <c r="E14" s="13"/>
      <c r="F14" s="9"/>
      <c r="G14" s="9"/>
      <c r="H14" s="9"/>
      <c r="I14" s="9"/>
      <c r="J14" s="9"/>
      <c r="K14" s="9"/>
      <c r="L14" s="9"/>
      <c r="M14" s="9"/>
      <c r="N14" s="9"/>
    </row>
    <row r="15" spans="1:16" ht="15">
      <c r="B15" s="40" t="s">
        <v>207</v>
      </c>
      <c r="C15" s="9">
        <f>C12-C13</f>
        <v>2563</v>
      </c>
      <c r="D15" s="9">
        <f t="shared" ref="D15:I15" si="7">D12-D13</f>
        <v>3005</v>
      </c>
      <c r="E15" s="9">
        <f t="shared" si="7"/>
        <v>3538</v>
      </c>
      <c r="F15" s="9">
        <f t="shared" si="7"/>
        <v>3430</v>
      </c>
      <c r="G15" s="9">
        <f t="shared" si="7"/>
        <v>3789</v>
      </c>
      <c r="H15" s="9">
        <f t="shared" si="7"/>
        <v>3874</v>
      </c>
      <c r="I15" s="9">
        <f t="shared" si="7"/>
        <v>3565</v>
      </c>
      <c r="J15" s="9">
        <f>J12-J13</f>
        <v>3757.7020595912354</v>
      </c>
      <c r="K15" s="9">
        <f t="shared" ref="K15:N15" si="8">K12-K13</f>
        <v>3835.2356895330604</v>
      </c>
      <c r="L15" s="9">
        <f t="shared" si="8"/>
        <v>3914.3794817924731</v>
      </c>
      <c r="M15" s="9">
        <f t="shared" si="8"/>
        <v>3995.1671268587907</v>
      </c>
      <c r="N15" s="9">
        <f t="shared" si="8"/>
        <v>4077.6330262121969</v>
      </c>
    </row>
    <row r="16" spans="1:16">
      <c r="B16" s="3" t="s">
        <v>9</v>
      </c>
      <c r="C16" s="18">
        <v>759</v>
      </c>
      <c r="D16" s="18">
        <v>968</v>
      </c>
      <c r="E16" s="19">
        <v>1141</v>
      </c>
      <c r="F16" s="17">
        <v>1117</v>
      </c>
      <c r="G16" s="17">
        <v>1235</v>
      </c>
      <c r="H16" s="17">
        <v>1243</v>
      </c>
      <c r="I16" s="17">
        <v>1155</v>
      </c>
      <c r="J16" s="9">
        <f>J15*J45</f>
        <v>1221.2531693671515</v>
      </c>
      <c r="K16" s="9">
        <f>K15*K45</f>
        <v>1246.4515990982447</v>
      </c>
      <c r="L16" s="9">
        <f>L15*L45</f>
        <v>1272.1733315825538</v>
      </c>
      <c r="M16" s="9">
        <f>M15*M45</f>
        <v>1298.4293162291069</v>
      </c>
      <c r="N16" s="9">
        <f>N15*N45</f>
        <v>1325.2307335189641</v>
      </c>
    </row>
    <row r="17" spans="1:17">
      <c r="B17" s="5" t="s">
        <v>10</v>
      </c>
      <c r="C17" s="12">
        <f t="shared" ref="C17:N17" si="9">C15-C16</f>
        <v>1804</v>
      </c>
      <c r="D17" s="12">
        <f t="shared" si="9"/>
        <v>2037</v>
      </c>
      <c r="E17" s="12">
        <f t="shared" si="9"/>
        <v>2397</v>
      </c>
      <c r="F17" s="12">
        <f t="shared" si="9"/>
        <v>2313</v>
      </c>
      <c r="G17" s="12">
        <f t="shared" si="9"/>
        <v>2554</v>
      </c>
      <c r="H17" s="12">
        <f t="shared" si="9"/>
        <v>2631</v>
      </c>
      <c r="I17" s="12">
        <f t="shared" si="9"/>
        <v>2410</v>
      </c>
      <c r="J17" s="12">
        <f t="shared" si="9"/>
        <v>2536.4488902240837</v>
      </c>
      <c r="K17" s="12">
        <f t="shared" si="9"/>
        <v>2588.7840904348159</v>
      </c>
      <c r="L17" s="12">
        <f t="shared" si="9"/>
        <v>2642.2061502099195</v>
      </c>
      <c r="M17" s="12">
        <f t="shared" si="9"/>
        <v>2696.7378106296837</v>
      </c>
      <c r="N17" s="12">
        <f t="shared" si="9"/>
        <v>2752.402292693233</v>
      </c>
    </row>
    <row r="18" spans="1:17">
      <c r="B18" s="6" t="s">
        <v>11</v>
      </c>
      <c r="C18" s="18">
        <v>67</v>
      </c>
      <c r="D18" s="18">
        <v>80</v>
      </c>
      <c r="E18" s="19">
        <v>106</v>
      </c>
      <c r="F18" s="21">
        <v>110</v>
      </c>
      <c r="G18" s="21">
        <v>123</v>
      </c>
      <c r="H18" s="21">
        <v>159</v>
      </c>
      <c r="I18" s="21">
        <v>169</v>
      </c>
      <c r="J18" s="196">
        <f>J42*J17</f>
        <v>177.55142231568587</v>
      </c>
      <c r="K18" s="196">
        <f>K42*K17</f>
        <v>181.21488633043714</v>
      </c>
      <c r="L18" s="196">
        <f>L42*L17</f>
        <v>184.95443051469439</v>
      </c>
      <c r="M18" s="196">
        <f>M42*M17</f>
        <v>188.77164674407788</v>
      </c>
      <c r="N18" s="196">
        <f>N42*N17</f>
        <v>192.66816048852633</v>
      </c>
    </row>
    <row r="19" spans="1:17">
      <c r="B19" s="5" t="s">
        <v>12</v>
      </c>
      <c r="C19" s="15">
        <f t="shared" ref="C19:N19" si="10">C17-C18</f>
        <v>1737</v>
      </c>
      <c r="D19" s="15">
        <f t="shared" si="10"/>
        <v>1957</v>
      </c>
      <c r="E19" s="9">
        <f t="shared" si="10"/>
        <v>2291</v>
      </c>
      <c r="F19" s="9">
        <f t="shared" si="10"/>
        <v>2203</v>
      </c>
      <c r="G19" s="9">
        <f t="shared" si="10"/>
        <v>2431</v>
      </c>
      <c r="H19" s="9">
        <f t="shared" si="10"/>
        <v>2472</v>
      </c>
      <c r="I19" s="9">
        <f t="shared" si="10"/>
        <v>2241</v>
      </c>
      <c r="J19" s="9">
        <f t="shared" si="10"/>
        <v>2358.8974679083976</v>
      </c>
      <c r="K19" s="9">
        <f t="shared" si="10"/>
        <v>2407.5692041043785</v>
      </c>
      <c r="L19" s="9">
        <f t="shared" si="10"/>
        <v>2457.2517196952253</v>
      </c>
      <c r="M19" s="9">
        <f t="shared" si="10"/>
        <v>2507.966163885606</v>
      </c>
      <c r="N19" s="9">
        <f t="shared" si="10"/>
        <v>2559.7341322047068</v>
      </c>
    </row>
    <row r="20" spans="1:17">
      <c r="B20" s="3" t="s">
        <v>13</v>
      </c>
      <c r="C20" s="242">
        <f>3.35/2</f>
        <v>1.675</v>
      </c>
      <c r="D20" s="242">
        <f>3.81/2</f>
        <v>1.905</v>
      </c>
      <c r="E20" s="216">
        <f>4.53/2</f>
        <v>2.2650000000000001</v>
      </c>
      <c r="F20" s="216">
        <f>4.45/2</f>
        <v>2.2250000000000001</v>
      </c>
      <c r="G20" s="82">
        <v>2.4900000000000002</v>
      </c>
      <c r="H20" s="82">
        <v>2.6</v>
      </c>
      <c r="I20" s="82">
        <v>2.41</v>
      </c>
      <c r="J20" s="216">
        <f>J19/J23</f>
        <v>2.5813733680164366</v>
      </c>
      <c r="K20" s="216">
        <f t="shared" ref="K20:N20" si="11">K19/K23</f>
        <v>2.7213290855905221</v>
      </c>
      <c r="L20" s="216">
        <f t="shared" si="11"/>
        <v>2.8671056950431182</v>
      </c>
      <c r="M20" s="216">
        <f t="shared" si="11"/>
        <v>3.0185989110790397</v>
      </c>
      <c r="N20" s="216">
        <f t="shared" si="11"/>
        <v>3.1762181632921092</v>
      </c>
    </row>
    <row r="21" spans="1:17" ht="15.75" thickBot="1">
      <c r="B21" s="7" t="s">
        <v>14</v>
      </c>
      <c r="C21" s="217">
        <f>3.2/2</f>
        <v>1.6</v>
      </c>
      <c r="D21" s="217">
        <f>3.66/2</f>
        <v>1.83</v>
      </c>
      <c r="E21" s="217">
        <f>4.37/2</f>
        <v>2.1850000000000001</v>
      </c>
      <c r="F21" s="217">
        <f>4.31/2</f>
        <v>2.1549999999999998</v>
      </c>
      <c r="G21" s="83">
        <v>2.4700000000000002</v>
      </c>
      <c r="H21" s="83">
        <v>2.57</v>
      </c>
      <c r="I21" s="83">
        <v>2.38</v>
      </c>
      <c r="J21" s="217">
        <f>J19/J24</f>
        <v>2.5669656303329229</v>
      </c>
      <c r="K21" s="217">
        <f t="shared" ref="K21:N21" si="12">K19/K24</f>
        <v>2.6711522105769787</v>
      </c>
      <c r="L21" s="217">
        <f t="shared" si="12"/>
        <v>2.8151195468039609</v>
      </c>
      <c r="M21" s="217">
        <f t="shared" si="12"/>
        <v>2.9646963004378901</v>
      </c>
      <c r="N21" s="217">
        <f t="shared" si="12"/>
        <v>3.1202112932092274</v>
      </c>
      <c r="Q21" s="24"/>
    </row>
    <row r="22" spans="1:17" s="233" customFormat="1" ht="15">
      <c r="B22" s="237"/>
      <c r="C22" s="239"/>
      <c r="D22" s="239"/>
      <c r="E22" s="239"/>
      <c r="F22" s="239"/>
      <c r="G22" s="238"/>
      <c r="H22" s="238"/>
      <c r="I22" s="238"/>
      <c r="J22" s="239"/>
      <c r="K22" s="239"/>
      <c r="L22" s="239"/>
      <c r="M22" s="239"/>
      <c r="N22" s="239"/>
      <c r="Q22" s="240"/>
    </row>
    <row r="23" spans="1:17" s="233" customFormat="1" ht="15">
      <c r="B23" s="237" t="s">
        <v>159</v>
      </c>
      <c r="C23" s="243"/>
      <c r="D23" s="243"/>
      <c r="E23" s="243"/>
      <c r="F23" s="243"/>
      <c r="G23" s="270">
        <v>976.7</v>
      </c>
      <c r="H23" s="270">
        <v>952.1</v>
      </c>
      <c r="I23" s="270">
        <v>930.8</v>
      </c>
      <c r="J23" s="241">
        <f>'[1]Shares Outstanding '!J9</f>
        <v>913.81490842644257</v>
      </c>
      <c r="K23" s="241">
        <f>'[1]Shares Outstanding '!K9</f>
        <v>884.70344026104499</v>
      </c>
      <c r="L23" s="241">
        <f>'[1]Shares Outstanding '!L9</f>
        <v>857.04957579468339</v>
      </c>
      <c r="M23" s="241">
        <f>'[1]Shares Outstanding '!M9</f>
        <v>830.83782833178691</v>
      </c>
      <c r="N23" s="241">
        <f>'[1]Shares Outstanding '!N9</f>
        <v>805.90626984878622</v>
      </c>
      <c r="Q23" s="240"/>
    </row>
    <row r="24" spans="1:17">
      <c r="B24" s="3" t="s">
        <v>160</v>
      </c>
      <c r="C24" s="244"/>
      <c r="D24" s="244"/>
      <c r="E24" s="244"/>
      <c r="F24" s="244"/>
      <c r="G24" s="271">
        <v>984.1</v>
      </c>
      <c r="H24" s="271">
        <v>960.2</v>
      </c>
      <c r="I24" s="271">
        <v>939.9</v>
      </c>
      <c r="J24" s="241">
        <f>'[1]Shares Outstanding '!J13</f>
        <v>918.94392353140313</v>
      </c>
      <c r="K24" s="241">
        <f>'[1]Shares Outstanding '!K13</f>
        <v>901.32235616192565</v>
      </c>
      <c r="L24" s="241">
        <f>'[1]Shares Outstanding '!L13</f>
        <v>872.87650802786425</v>
      </c>
      <c r="M24" s="241">
        <f>'[1]Shares Outstanding '!M13</f>
        <v>845.94370206323515</v>
      </c>
      <c r="N24" s="241">
        <f>'[1]Shares Outstanding '!N13</f>
        <v>820.37204909028651</v>
      </c>
    </row>
    <row r="25" spans="1:17">
      <c r="B25" s="3"/>
      <c r="G25" s="224"/>
      <c r="H25" s="224"/>
      <c r="I25" s="224"/>
      <c r="J25" s="224"/>
      <c r="K25" s="224"/>
      <c r="L25" s="224"/>
      <c r="M25" s="224"/>
      <c r="N25" s="224"/>
    </row>
    <row r="26" spans="1:17" s="233" customFormat="1" ht="15">
      <c r="B26" s="40" t="s">
        <v>229</v>
      </c>
      <c r="C26" s="244"/>
      <c r="D26" s="244"/>
      <c r="E26" s="244"/>
      <c r="F26" s="234"/>
      <c r="G26" s="234"/>
      <c r="H26" s="234"/>
      <c r="I26" s="234"/>
      <c r="J26" s="234">
        <v>4178.7573571295452</v>
      </c>
      <c r="K26" s="234">
        <v>4290.2289210236959</v>
      </c>
      <c r="L26" s="234">
        <v>4404.0113885949359</v>
      </c>
      <c r="M26" s="234">
        <v>4520.1530147267868</v>
      </c>
      <c r="N26" s="234">
        <v>4638.7030703206929</v>
      </c>
    </row>
    <row r="27" spans="1:17" s="233" customFormat="1">
      <c r="B27" s="3"/>
    </row>
    <row r="28" spans="1:17">
      <c r="B28" s="3" t="s">
        <v>15</v>
      </c>
    </row>
    <row r="29" spans="1:17" ht="15.75" thickBot="1">
      <c r="A29" s="174" t="s">
        <v>18</v>
      </c>
      <c r="C29" s="14">
        <f>C5</f>
        <v>39447</v>
      </c>
      <c r="D29" s="14">
        <f t="shared" ref="D29:N29" si="13">D5</f>
        <v>39813</v>
      </c>
      <c r="E29" s="14">
        <f t="shared" si="13"/>
        <v>40178</v>
      </c>
      <c r="F29" s="14">
        <f t="shared" si="13"/>
        <v>40543</v>
      </c>
      <c r="G29" s="14">
        <f t="shared" si="13"/>
        <v>40908</v>
      </c>
      <c r="H29" s="14">
        <f t="shared" si="13"/>
        <v>41274</v>
      </c>
      <c r="I29" s="14">
        <f t="shared" si="13"/>
        <v>41639</v>
      </c>
      <c r="J29" s="14">
        <f t="shared" si="13"/>
        <v>42004</v>
      </c>
      <c r="K29" s="14">
        <f t="shared" si="13"/>
        <v>42369</v>
      </c>
      <c r="L29" s="14">
        <f t="shared" si="13"/>
        <v>42735</v>
      </c>
      <c r="M29" s="14">
        <f t="shared" si="13"/>
        <v>43100</v>
      </c>
      <c r="N29" s="14">
        <f t="shared" si="13"/>
        <v>43465</v>
      </c>
    </row>
    <row r="30" spans="1:17">
      <c r="B30" s="3" t="s">
        <v>1</v>
      </c>
      <c r="C30" s="27">
        <f>C6/C$6</f>
        <v>1</v>
      </c>
      <c r="D30" s="27">
        <f t="shared" ref="D30:E30" si="14">D6/D$6</f>
        <v>1</v>
      </c>
      <c r="E30" s="27">
        <f t="shared" si="14"/>
        <v>1</v>
      </c>
      <c r="F30" s="27">
        <f>100%</f>
        <v>1</v>
      </c>
      <c r="G30" s="27">
        <f>100%</f>
        <v>1</v>
      </c>
      <c r="H30" s="27">
        <f>100%</f>
        <v>1</v>
      </c>
      <c r="I30" s="27">
        <f t="shared" ref="I30:N32" si="15">I6/I$6</f>
        <v>1</v>
      </c>
      <c r="J30" s="27">
        <f t="shared" si="15"/>
        <v>1</v>
      </c>
      <c r="K30" s="27">
        <f t="shared" si="15"/>
        <v>1</v>
      </c>
      <c r="L30" s="27">
        <f t="shared" si="15"/>
        <v>1</v>
      </c>
      <c r="M30" s="27">
        <f t="shared" si="15"/>
        <v>1</v>
      </c>
      <c r="N30" s="27">
        <f t="shared" si="15"/>
        <v>1</v>
      </c>
    </row>
    <row r="31" spans="1:17">
      <c r="B31" s="3" t="s">
        <v>2</v>
      </c>
      <c r="C31" s="33">
        <f t="shared" ref="C31:H32" si="16">C7/C$6</f>
        <v>0.43821609862219002</v>
      </c>
      <c r="D31" s="33">
        <f t="shared" si="16"/>
        <v>0.43731245923026746</v>
      </c>
      <c r="E31" s="33">
        <f t="shared" si="16"/>
        <v>0.41227898479806879</v>
      </c>
      <c r="F31" s="33">
        <f t="shared" si="16"/>
        <v>0.40863531225905936</v>
      </c>
      <c r="G31" s="33">
        <f t="shared" si="16"/>
        <v>0.42691526234014582</v>
      </c>
      <c r="H31" s="33">
        <f t="shared" si="16"/>
        <v>0.41867134913666959</v>
      </c>
      <c r="I31" s="33">
        <f t="shared" si="15"/>
        <v>0.41440872560275543</v>
      </c>
      <c r="J31" s="192">
        <v>0.41499999999999998</v>
      </c>
      <c r="K31" s="192">
        <v>0.41499999999999998</v>
      </c>
      <c r="L31" s="192">
        <v>0.41499999999999998</v>
      </c>
      <c r="M31" s="192">
        <v>0.41499999999999998</v>
      </c>
      <c r="N31" s="192">
        <v>0.41499999999999998</v>
      </c>
    </row>
    <row r="32" spans="1:17" ht="15">
      <c r="B32" s="4"/>
      <c r="C32" s="35">
        <f t="shared" ref="C32:E32" si="17">C8/C$6</f>
        <v>0.56178390137780998</v>
      </c>
      <c r="D32" s="35">
        <f t="shared" si="17"/>
        <v>0.5626875407697326</v>
      </c>
      <c r="E32" s="35">
        <f t="shared" si="17"/>
        <v>0.58772101520193121</v>
      </c>
      <c r="F32" s="35">
        <f t="shared" si="16"/>
        <v>0.59136468774094064</v>
      </c>
      <c r="G32" s="35">
        <f t="shared" si="16"/>
        <v>0.57308473765985424</v>
      </c>
      <c r="H32" s="35">
        <f t="shared" si="16"/>
        <v>0.58132865086333041</v>
      </c>
      <c r="I32" s="35">
        <f t="shared" si="15"/>
        <v>0.58559127439724457</v>
      </c>
      <c r="J32" s="35">
        <f t="shared" si="15"/>
        <v>0.58500000000000008</v>
      </c>
      <c r="K32" s="35">
        <f t="shared" si="15"/>
        <v>0.58500000000000008</v>
      </c>
      <c r="L32" s="35">
        <f t="shared" si="15"/>
        <v>0.58500000000000008</v>
      </c>
      <c r="M32" s="35">
        <f t="shared" si="15"/>
        <v>0.58500000000000008</v>
      </c>
      <c r="N32" s="35">
        <f t="shared" si="15"/>
        <v>0.58500000000000008</v>
      </c>
    </row>
    <row r="33" spans="1:14">
      <c r="B33" s="3"/>
      <c r="C33" s="27"/>
      <c r="D33" s="27"/>
      <c r="E33" s="27"/>
      <c r="F33" s="27"/>
      <c r="G33" s="27"/>
      <c r="H33" s="27"/>
      <c r="I33" s="27"/>
    </row>
    <row r="34" spans="1:14">
      <c r="B34" s="3" t="s">
        <v>4</v>
      </c>
      <c r="C34" s="27">
        <f t="shared" ref="C34:E34" si="18">C10/C$6</f>
        <v>0.36062364031907179</v>
      </c>
      <c r="D34" s="27">
        <f t="shared" si="18"/>
        <v>0.35368558382257015</v>
      </c>
      <c r="E34" s="27">
        <f t="shared" si="18"/>
        <v>0.34462060416258888</v>
      </c>
      <c r="F34" s="27">
        <f>F10/F6</f>
        <v>0.34785402210228733</v>
      </c>
      <c r="G34" s="27">
        <f t="shared" ref="G34:H34" si="19">G10/G6</f>
        <v>0.34408987689733478</v>
      </c>
      <c r="H34" s="27">
        <f t="shared" si="19"/>
        <v>0.34708808896693005</v>
      </c>
      <c r="I34" s="27">
        <f t="shared" ref="I34:N37" si="20">I10/I$6</f>
        <v>0.35723306544202066</v>
      </c>
      <c r="J34" s="193">
        <v>0.35</v>
      </c>
      <c r="K34" s="193">
        <v>0.35</v>
      </c>
      <c r="L34" s="193">
        <v>0.35</v>
      </c>
      <c r="M34" s="193">
        <v>0.35</v>
      </c>
      <c r="N34" s="193">
        <v>0.35</v>
      </c>
    </row>
    <row r="35" spans="1:14">
      <c r="B35" s="3" t="s">
        <v>5</v>
      </c>
      <c r="C35" s="33">
        <f t="shared" ref="C35:E35" si="21">C11/C$6</f>
        <v>3.9158810732414793E-3</v>
      </c>
      <c r="D35" s="33">
        <f t="shared" si="21"/>
        <v>6.7188519243313767E-3</v>
      </c>
      <c r="E35" s="33">
        <f t="shared" si="21"/>
        <v>7.2421217459385399E-3</v>
      </c>
      <c r="F35" s="27">
        <f>F11/F6</f>
        <v>1.9339501413518374E-2</v>
      </c>
      <c r="G35" s="27">
        <f t="shared" ref="G35:H35" si="22">G11/G6</f>
        <v>-5.3782717820007172E-4</v>
      </c>
      <c r="H35" s="27">
        <f t="shared" si="22"/>
        <v>6.6139888791337427E-3</v>
      </c>
      <c r="I35" s="27">
        <f t="shared" si="20"/>
        <v>2.4225028702640643E-2</v>
      </c>
      <c r="J35" s="194">
        <v>2.5000000000000001E-2</v>
      </c>
      <c r="K35" s="194">
        <v>2.5000000000000001E-2</v>
      </c>
      <c r="L35" s="194">
        <v>2.5000000000000001E-2</v>
      </c>
      <c r="M35" s="194">
        <v>2.5000000000000001E-2</v>
      </c>
      <c r="N35" s="194">
        <v>2.5000000000000001E-2</v>
      </c>
    </row>
    <row r="36" spans="1:14" ht="15">
      <c r="B36" s="3" t="s">
        <v>6</v>
      </c>
      <c r="C36" s="36">
        <f t="shared" ref="C36:E36" si="23">C12/C$6</f>
        <v>0.19724437998549674</v>
      </c>
      <c r="D36" s="36">
        <f t="shared" si="23"/>
        <v>0.20228310502283106</v>
      </c>
      <c r="E36" s="36">
        <f t="shared" si="23"/>
        <v>0.2358582892934038</v>
      </c>
      <c r="F36" s="36">
        <f>F12/F6</f>
        <v>0.22417116422513492</v>
      </c>
      <c r="G36" s="36">
        <f t="shared" ref="G36:H36" si="24">G12/G6</f>
        <v>0.22953268794071949</v>
      </c>
      <c r="H36" s="36">
        <f t="shared" si="24"/>
        <v>0.2276265730172666</v>
      </c>
      <c r="I36" s="36">
        <f t="shared" si="20"/>
        <v>0.20413318025258323</v>
      </c>
      <c r="J36" s="36">
        <f t="shared" si="20"/>
        <v>0.21000000000000005</v>
      </c>
      <c r="K36" s="36">
        <f t="shared" si="20"/>
        <v>0.21000000000000002</v>
      </c>
      <c r="L36" s="36">
        <f t="shared" si="20"/>
        <v>0.2100000000000001</v>
      </c>
      <c r="M36" s="36">
        <f t="shared" si="20"/>
        <v>0.21000000000000005</v>
      </c>
      <c r="N36" s="36">
        <f t="shared" si="20"/>
        <v>0.21000000000000005</v>
      </c>
    </row>
    <row r="37" spans="1:14">
      <c r="B37" s="3" t="s">
        <v>7</v>
      </c>
      <c r="C37" s="33">
        <f t="shared" ref="C37:E37" si="25">C13/C$6</f>
        <v>1.1385061638868746E-2</v>
      </c>
      <c r="D37" s="33">
        <f t="shared" si="25"/>
        <v>6.2622309197651665E-3</v>
      </c>
      <c r="E37" s="33">
        <f t="shared" si="25"/>
        <v>5.0238141841195275E-3</v>
      </c>
      <c r="F37" s="33">
        <f>F13/F6</f>
        <v>3.7907992803906452E-3</v>
      </c>
      <c r="G37" s="33">
        <f t="shared" ref="G37:H37" si="26">G13/G6</f>
        <v>3.1074459184893032E-3</v>
      </c>
      <c r="H37" s="33">
        <f t="shared" si="26"/>
        <v>8.7796312554872696E-4</v>
      </c>
      <c r="I37" s="33">
        <f t="shared" si="20"/>
        <v>-5.1664753157290469E-4</v>
      </c>
      <c r="J37" s="33"/>
      <c r="K37" s="33"/>
      <c r="L37" s="33"/>
      <c r="M37" s="33"/>
      <c r="N37" s="33"/>
    </row>
    <row r="38" spans="1:14">
      <c r="B38" s="3"/>
      <c r="C38" s="30"/>
      <c r="D38" s="30"/>
      <c r="E38" s="27"/>
      <c r="F38" s="27"/>
      <c r="G38" s="27"/>
      <c r="H38" s="27"/>
      <c r="I38" s="27"/>
    </row>
    <row r="39" spans="1:14">
      <c r="B39" s="3" t="s">
        <v>8</v>
      </c>
      <c r="C39" s="27">
        <f t="shared" ref="C39:E39" si="27">C15/C$6</f>
        <v>0.185859318346628</v>
      </c>
      <c r="D39" s="27">
        <f t="shared" si="27"/>
        <v>0.19602087410306587</v>
      </c>
      <c r="E39" s="27">
        <f t="shared" si="27"/>
        <v>0.23083447510928426</v>
      </c>
      <c r="F39" s="27">
        <f>F15/F6</f>
        <v>0.22038036494474428</v>
      </c>
      <c r="G39" s="27">
        <f t="shared" ref="G39:H39" si="28">G15/G6</f>
        <v>0.22642524202223019</v>
      </c>
      <c r="H39" s="27">
        <f t="shared" si="28"/>
        <v>0.22674860989171788</v>
      </c>
      <c r="I39" s="27">
        <f t="shared" ref="I39:N41" si="29">I15/I$6</f>
        <v>0.20464982778415614</v>
      </c>
      <c r="J39" s="27">
        <f t="shared" si="29"/>
        <v>0.21000000000000005</v>
      </c>
      <c r="K39" s="27">
        <f t="shared" si="29"/>
        <v>0.21000000000000002</v>
      </c>
      <c r="L39" s="27">
        <f t="shared" si="29"/>
        <v>0.2100000000000001</v>
      </c>
      <c r="M39" s="27">
        <f t="shared" si="29"/>
        <v>0.21000000000000005</v>
      </c>
      <c r="N39" s="27">
        <f t="shared" si="29"/>
        <v>0.21000000000000005</v>
      </c>
    </row>
    <row r="40" spans="1:14">
      <c r="B40" s="3" t="s">
        <v>9</v>
      </c>
      <c r="C40" s="33">
        <f t="shared" ref="C40:E40" si="30">C16/C$6</f>
        <v>5.5039883973894123E-2</v>
      </c>
      <c r="D40" s="33">
        <f t="shared" si="30"/>
        <v>6.3144161774298754E-2</v>
      </c>
      <c r="E40" s="33">
        <f t="shared" si="30"/>
        <v>7.444379200104391E-2</v>
      </c>
      <c r="F40" s="27">
        <f>F16/F6</f>
        <v>7.1768182986378826E-2</v>
      </c>
      <c r="G40" s="27">
        <f t="shared" ref="G40:H40" si="31">G16/G6</f>
        <v>7.3801840564120952E-2</v>
      </c>
      <c r="H40" s="27">
        <f t="shared" si="31"/>
        <v>7.2753877670471173E-2</v>
      </c>
      <c r="I40" s="27">
        <f t="shared" si="29"/>
        <v>6.630309988518944E-2</v>
      </c>
      <c r="J40" s="27">
        <f t="shared" si="29"/>
        <v>6.8250000000000005E-2</v>
      </c>
      <c r="K40" s="27">
        <f t="shared" si="29"/>
        <v>6.8250000000000019E-2</v>
      </c>
      <c r="L40" s="27">
        <f t="shared" si="29"/>
        <v>6.8250000000000033E-2</v>
      </c>
      <c r="M40" s="27">
        <f t="shared" si="29"/>
        <v>6.8250000000000005E-2</v>
      </c>
      <c r="N40" s="27">
        <f t="shared" si="29"/>
        <v>6.8250000000000033E-2</v>
      </c>
    </row>
    <row r="41" spans="1:14">
      <c r="B41" s="5" t="s">
        <v>10</v>
      </c>
      <c r="C41" s="31">
        <f t="shared" ref="C41:E41" si="32">C17/C$6</f>
        <v>0.13081943437273386</v>
      </c>
      <c r="D41" s="31">
        <f t="shared" si="32"/>
        <v>0.13287671232876713</v>
      </c>
      <c r="E41" s="31">
        <f t="shared" si="32"/>
        <v>0.15639068310824036</v>
      </c>
      <c r="F41" s="31">
        <f>F17/F6</f>
        <v>0.14861218195836545</v>
      </c>
      <c r="G41" s="31">
        <f t="shared" ref="G41:H41" si="33">G17/G6</f>
        <v>0.15262340145810924</v>
      </c>
      <c r="H41" s="31">
        <f t="shared" si="33"/>
        <v>0.15399473222124671</v>
      </c>
      <c r="I41" s="31">
        <f t="shared" si="29"/>
        <v>0.13834672789896671</v>
      </c>
      <c r="J41" s="31">
        <f t="shared" si="29"/>
        <v>0.14175000000000001</v>
      </c>
      <c r="K41" s="31">
        <f t="shared" si="29"/>
        <v>0.14175000000000001</v>
      </c>
      <c r="L41" s="31">
        <f t="shared" si="29"/>
        <v>0.14175000000000007</v>
      </c>
      <c r="M41" s="31">
        <f t="shared" si="29"/>
        <v>0.14175000000000004</v>
      </c>
      <c r="N41" s="31">
        <f t="shared" si="29"/>
        <v>0.14175000000000004</v>
      </c>
    </row>
    <row r="42" spans="1:14" ht="15">
      <c r="B42" s="245" t="s">
        <v>209</v>
      </c>
      <c r="C42" s="33">
        <f>C18/C$17</f>
        <v>3.7139689578713969E-2</v>
      </c>
      <c r="D42" s="33">
        <f t="shared" ref="D42:E42" si="34">D18/D$17</f>
        <v>3.9273441335297005E-2</v>
      </c>
      <c r="E42" s="33">
        <f t="shared" si="34"/>
        <v>4.4221944096787653E-2</v>
      </c>
      <c r="F42" s="33">
        <f>F18/F17</f>
        <v>4.7557284911370512E-2</v>
      </c>
      <c r="G42" s="33">
        <f t="shared" ref="G42:H42" si="35">G18/G17</f>
        <v>4.8159749412685984E-2</v>
      </c>
      <c r="H42" s="33">
        <f t="shared" si="35"/>
        <v>6.0433295324971492E-2</v>
      </c>
      <c r="I42" s="33">
        <f t="shared" ref="I42" si="36">I18/I$17</f>
        <v>7.0124481327800831E-2</v>
      </c>
      <c r="J42" s="192">
        <v>7.0000000000000007E-2</v>
      </c>
      <c r="K42" s="192">
        <v>7.0000000000000007E-2</v>
      </c>
      <c r="L42" s="192">
        <v>7.0000000000000007E-2</v>
      </c>
      <c r="M42" s="192">
        <v>7.0000000000000007E-2</v>
      </c>
      <c r="N42" s="192">
        <v>7.0000000000000007E-2</v>
      </c>
    </row>
    <row r="43" spans="1:14" ht="15">
      <c r="B43" s="26" t="s">
        <v>12</v>
      </c>
      <c r="C43" s="37">
        <f t="shared" ref="C43:E43" si="37">C19/C$6</f>
        <v>0.12596084118926759</v>
      </c>
      <c r="D43" s="37">
        <f t="shared" si="37"/>
        <v>0.12765818656229616</v>
      </c>
      <c r="E43" s="37">
        <f t="shared" si="37"/>
        <v>0.14947478306256931</v>
      </c>
      <c r="F43" s="37">
        <f>F19/F6</f>
        <v>0.14154459007967105</v>
      </c>
      <c r="G43" s="37">
        <f t="shared" ref="G43:H43" si="38">G19/G6</f>
        <v>0.14527309668937494</v>
      </c>
      <c r="H43" s="37">
        <f t="shared" si="38"/>
        <v>0.1446883230904302</v>
      </c>
      <c r="I43" s="37">
        <f t="shared" ref="I43:N43" si="39">I19/I$6</f>
        <v>0.12864523536165326</v>
      </c>
      <c r="J43" s="37">
        <f t="shared" si="39"/>
        <v>0.13182749999999999</v>
      </c>
      <c r="K43" s="37">
        <f t="shared" si="39"/>
        <v>0.13182750000000001</v>
      </c>
      <c r="L43" s="37">
        <f t="shared" si="39"/>
        <v>0.13182750000000007</v>
      </c>
      <c r="M43" s="37">
        <f t="shared" si="39"/>
        <v>0.13182750000000004</v>
      </c>
      <c r="N43" s="37">
        <f t="shared" si="39"/>
        <v>0.13182750000000004</v>
      </c>
    </row>
    <row r="45" spans="1:14">
      <c r="B45" s="23" t="s">
        <v>208</v>
      </c>
      <c r="C45" s="195">
        <f>C16/C15</f>
        <v>0.29613733905579398</v>
      </c>
      <c r="D45" s="195">
        <f t="shared" ref="D45:E45" si="40">D16/D15</f>
        <v>0.3221297836938436</v>
      </c>
      <c r="E45" s="195">
        <f t="shared" si="40"/>
        <v>0.32249858677218768</v>
      </c>
      <c r="F45" s="195">
        <f>F16/F15</f>
        <v>0.32565597667638485</v>
      </c>
      <c r="G45" s="195">
        <f t="shared" ref="G45:I45" si="41">G16/G15</f>
        <v>0.32594352071786753</v>
      </c>
      <c r="H45" s="195">
        <f t="shared" si="41"/>
        <v>0.32085699535363965</v>
      </c>
      <c r="I45" s="195">
        <f t="shared" si="41"/>
        <v>0.32398316970546986</v>
      </c>
      <c r="J45" s="194">
        <v>0.32500000000000001</v>
      </c>
      <c r="K45" s="194">
        <v>0.32500000000000001</v>
      </c>
      <c r="L45" s="194">
        <v>0.32500000000000001</v>
      </c>
      <c r="M45" s="194">
        <v>0.32500000000000001</v>
      </c>
      <c r="N45" s="194">
        <v>0.32500000000000001</v>
      </c>
    </row>
    <row r="48" spans="1:14" ht="15.75" thickBot="1">
      <c r="A48" s="174" t="s">
        <v>19</v>
      </c>
      <c r="C48" s="14">
        <f>C29</f>
        <v>39447</v>
      </c>
      <c r="D48" s="14">
        <f t="shared" ref="D48:H48" si="42">D29</f>
        <v>39813</v>
      </c>
      <c r="E48" s="14">
        <f t="shared" si="42"/>
        <v>40178</v>
      </c>
      <c r="F48" s="14">
        <f t="shared" si="42"/>
        <v>40543</v>
      </c>
      <c r="G48" s="14">
        <f t="shared" si="42"/>
        <v>40908</v>
      </c>
      <c r="H48" s="14">
        <f t="shared" si="42"/>
        <v>41274</v>
      </c>
      <c r="I48" s="14">
        <f t="shared" ref="I48:N48" si="43">I29</f>
        <v>41639</v>
      </c>
      <c r="J48" s="14">
        <f t="shared" si="43"/>
        <v>42004</v>
      </c>
      <c r="K48" s="14">
        <f t="shared" si="43"/>
        <v>42369</v>
      </c>
      <c r="L48" s="14">
        <f t="shared" si="43"/>
        <v>42735</v>
      </c>
      <c r="M48" s="14">
        <f t="shared" si="43"/>
        <v>43100</v>
      </c>
      <c r="N48" s="14">
        <f t="shared" si="43"/>
        <v>43465</v>
      </c>
    </row>
    <row r="49" spans="2:14">
      <c r="B49" s="3" t="s">
        <v>1</v>
      </c>
      <c r="C49" s="27"/>
      <c r="D49" s="27">
        <f>D6/C6-1</f>
        <v>0.11167512690355319</v>
      </c>
      <c r="E49" s="27">
        <f t="shared" ref="E49:I51" si="44">E6/D6-1</f>
        <v>-1.956947162427003E-4</v>
      </c>
      <c r="F49" s="27">
        <f t="shared" si="44"/>
        <v>1.5462908592679625E-2</v>
      </c>
      <c r="G49" s="27">
        <f t="shared" si="44"/>
        <v>7.5173477255204402E-2</v>
      </c>
      <c r="H49" s="27">
        <f t="shared" si="44"/>
        <v>2.097525994980276E-2</v>
      </c>
      <c r="I49" s="27">
        <f t="shared" si="44"/>
        <v>1.9607843137254832E-2</v>
      </c>
      <c r="J49" s="27">
        <f t="shared" ref="J49:N51" si="45">J6/I6-1</f>
        <v>2.7199731996947918E-2</v>
      </c>
      <c r="K49" s="27">
        <f t="shared" si="45"/>
        <v>2.0633256365795827E-2</v>
      </c>
      <c r="L49" s="27">
        <f t="shared" si="45"/>
        <v>2.0635965730973593E-2</v>
      </c>
      <c r="M49" s="27">
        <f t="shared" si="45"/>
        <v>2.0638684992627221E-2</v>
      </c>
      <c r="N49" s="27">
        <f t="shared" si="45"/>
        <v>2.0641414172388961E-2</v>
      </c>
    </row>
    <row r="50" spans="2:14">
      <c r="B50" s="3" t="s">
        <v>2</v>
      </c>
      <c r="C50" s="33"/>
      <c r="D50" s="33">
        <f t="shared" ref="D50:E50" si="46">D7/C7-1</f>
        <v>0.10938275690882016</v>
      </c>
      <c r="E50" s="33">
        <f t="shared" si="46"/>
        <v>-5.7428400954653958E-2</v>
      </c>
      <c r="F50" s="33">
        <f t="shared" si="44"/>
        <v>6.4883684127234886E-3</v>
      </c>
      <c r="G50" s="33">
        <f t="shared" si="44"/>
        <v>0.1232704402515723</v>
      </c>
      <c r="H50" s="33">
        <f t="shared" si="44"/>
        <v>1.2597984322508804E-3</v>
      </c>
      <c r="I50" s="33">
        <f t="shared" si="44"/>
        <v>9.2268978051166517E-3</v>
      </c>
      <c r="J50" s="33">
        <f t="shared" si="45"/>
        <v>2.8665330728014249E-2</v>
      </c>
      <c r="K50" s="33">
        <f t="shared" si="45"/>
        <v>2.0633256365795827E-2</v>
      </c>
      <c r="L50" s="33">
        <f t="shared" si="45"/>
        <v>2.0635965730973593E-2</v>
      </c>
      <c r="M50" s="33">
        <f t="shared" si="45"/>
        <v>2.0638684992627221E-2</v>
      </c>
      <c r="N50" s="33">
        <f t="shared" si="45"/>
        <v>2.0641414172388961E-2</v>
      </c>
    </row>
    <row r="51" spans="2:14">
      <c r="B51" s="4" t="s">
        <v>3</v>
      </c>
      <c r="C51" s="28"/>
      <c r="D51" s="28">
        <f t="shared" ref="D51:E51" si="47">D8/C8-1</f>
        <v>0.11346327610688012</v>
      </c>
      <c r="E51" s="28">
        <f t="shared" si="47"/>
        <v>4.4284720612102868E-2</v>
      </c>
      <c r="F51" s="28">
        <f t="shared" si="44"/>
        <v>2.1758436944937731E-2</v>
      </c>
      <c r="G51" s="28">
        <f t="shared" si="44"/>
        <v>4.1938287700999499E-2</v>
      </c>
      <c r="H51" s="28">
        <f t="shared" si="44"/>
        <v>3.5662148070907174E-2</v>
      </c>
      <c r="I51" s="28">
        <f t="shared" si="44"/>
        <v>2.7084172372130455E-2</v>
      </c>
      <c r="J51" s="28">
        <f t="shared" si="45"/>
        <v>2.6162563362542635E-2</v>
      </c>
      <c r="K51" s="28">
        <f t="shared" si="45"/>
        <v>2.0633256365795827E-2</v>
      </c>
      <c r="L51" s="28">
        <f t="shared" si="45"/>
        <v>2.0635965730973815E-2</v>
      </c>
      <c r="M51" s="28">
        <f t="shared" si="45"/>
        <v>2.0638684992627221E-2</v>
      </c>
      <c r="N51" s="28">
        <f t="shared" si="45"/>
        <v>2.0641414172389183E-2</v>
      </c>
    </row>
    <row r="52" spans="2:14">
      <c r="B52" s="3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</row>
    <row r="53" spans="2:14">
      <c r="B53" s="3" t="s">
        <v>4</v>
      </c>
      <c r="C53" s="27"/>
      <c r="D53" s="27">
        <f t="shared" ref="D53:I56" si="48">D10/C10-1</f>
        <v>9.0287552785039304E-2</v>
      </c>
      <c r="E53" s="27">
        <f t="shared" si="48"/>
        <v>-2.5820730357801525E-2</v>
      </c>
      <c r="F53" s="27">
        <f t="shared" si="48"/>
        <v>2.4990533888678446E-2</v>
      </c>
      <c r="G53" s="27">
        <f t="shared" si="48"/>
        <v>6.3538973032877699E-2</v>
      </c>
      <c r="H53" s="27">
        <f t="shared" si="48"/>
        <v>2.9871483153872891E-2</v>
      </c>
      <c r="I53" s="27">
        <f t="shared" si="48"/>
        <v>4.9409780775716783E-2</v>
      </c>
      <c r="J53" s="27">
        <f t="shared" ref="J53:N56" si="49">J10/I10-1</f>
        <v>6.4015371983594527E-3</v>
      </c>
      <c r="K53" s="27">
        <f t="shared" si="49"/>
        <v>2.0633256365795827E-2</v>
      </c>
      <c r="L53" s="27">
        <f t="shared" si="49"/>
        <v>2.0635965730973593E-2</v>
      </c>
      <c r="M53" s="27">
        <f t="shared" si="49"/>
        <v>2.0638684992627221E-2</v>
      </c>
      <c r="N53" s="27">
        <f t="shared" si="49"/>
        <v>2.0641414172389183E-2</v>
      </c>
    </row>
    <row r="54" spans="2:14">
      <c r="B54" s="3" t="s">
        <v>5</v>
      </c>
      <c r="C54" s="33"/>
      <c r="D54" s="33">
        <f t="shared" ref="D54:E54" si="50">D11/C11-1</f>
        <v>0.90740740740740744</v>
      </c>
      <c r="E54" s="33">
        <f t="shared" si="50"/>
        <v>7.7669902912621325E-2</v>
      </c>
      <c r="F54" s="27">
        <f t="shared" si="48"/>
        <v>1.7117117117117115</v>
      </c>
      <c r="G54" s="27">
        <f t="shared" si="48"/>
        <v>-1.0299003322259137</v>
      </c>
      <c r="H54" s="27">
        <f t="shared" si="48"/>
        <v>-13.555555555555555</v>
      </c>
      <c r="I54" s="27">
        <f t="shared" si="48"/>
        <v>2.7345132743362832</v>
      </c>
      <c r="J54" s="27">
        <f t="shared" si="49"/>
        <v>6.0060386930499643E-2</v>
      </c>
      <c r="K54" s="27">
        <f t="shared" si="49"/>
        <v>2.0633256365795827E-2</v>
      </c>
      <c r="L54" s="27">
        <f t="shared" si="49"/>
        <v>2.0635965730973815E-2</v>
      </c>
      <c r="M54" s="27">
        <f t="shared" si="49"/>
        <v>2.0638684992627443E-2</v>
      </c>
      <c r="N54" s="27">
        <f t="shared" si="49"/>
        <v>2.0641414172388961E-2</v>
      </c>
    </row>
    <row r="55" spans="2:14">
      <c r="B55" s="3" t="s">
        <v>6</v>
      </c>
      <c r="C55" s="29"/>
      <c r="D55" s="29">
        <f t="shared" ref="D55:E55" si="51">D12/C12-1</f>
        <v>0.14007352941176476</v>
      </c>
      <c r="E55" s="29">
        <f t="shared" si="51"/>
        <v>0.16575298290873919</v>
      </c>
      <c r="F55" s="29">
        <f t="shared" si="48"/>
        <v>-3.4854771784232352E-2</v>
      </c>
      <c r="G55" s="29">
        <f t="shared" si="48"/>
        <v>0.10088850673545435</v>
      </c>
      <c r="H55" s="29">
        <f t="shared" si="48"/>
        <v>1.2496745639156481E-2</v>
      </c>
      <c r="I55" s="29">
        <f t="shared" si="48"/>
        <v>-8.5626124967858042E-2</v>
      </c>
      <c r="J55" s="29">
        <f t="shared" si="49"/>
        <v>5.6721614058277581E-2</v>
      </c>
      <c r="K55" s="29">
        <f t="shared" si="49"/>
        <v>2.0633256365795827E-2</v>
      </c>
      <c r="L55" s="29">
        <f t="shared" si="49"/>
        <v>2.0635965730974037E-2</v>
      </c>
      <c r="M55" s="29">
        <f t="shared" si="49"/>
        <v>2.0638684992626999E-2</v>
      </c>
      <c r="N55" s="29">
        <f t="shared" si="49"/>
        <v>2.0641414172389183E-2</v>
      </c>
    </row>
    <row r="56" spans="2:14">
      <c r="B56" s="3" t="s">
        <v>7</v>
      </c>
      <c r="C56" s="33"/>
      <c r="D56" s="33">
        <f t="shared" ref="D56:E56" si="52">D13/C13-1</f>
        <v>-0.38853503184713378</v>
      </c>
      <c r="E56" s="33">
        <f t="shared" si="52"/>
        <v>-0.19791666666666663</v>
      </c>
      <c r="F56" s="33">
        <f t="shared" si="48"/>
        <v>-0.23376623376623373</v>
      </c>
      <c r="G56" s="33">
        <f t="shared" si="48"/>
        <v>-0.11864406779661019</v>
      </c>
      <c r="H56" s="33">
        <f t="shared" si="48"/>
        <v>-0.71153846153846156</v>
      </c>
      <c r="I56" s="33">
        <f t="shared" si="48"/>
        <v>-1.6</v>
      </c>
      <c r="J56" s="33">
        <f t="shared" si="49"/>
        <v>-1</v>
      </c>
      <c r="K56" s="33" t="e">
        <f t="shared" si="49"/>
        <v>#DIV/0!</v>
      </c>
      <c r="L56" s="33" t="e">
        <f t="shared" si="49"/>
        <v>#DIV/0!</v>
      </c>
      <c r="M56" s="33" t="e">
        <f t="shared" si="49"/>
        <v>#DIV/0!</v>
      </c>
      <c r="N56" s="33" t="e">
        <f t="shared" si="49"/>
        <v>#DIV/0!</v>
      </c>
    </row>
    <row r="57" spans="2:14">
      <c r="B57" s="3"/>
      <c r="C57" s="30"/>
      <c r="D57" s="30"/>
      <c r="E57" s="27"/>
      <c r="F57" s="27"/>
      <c r="G57" s="27"/>
      <c r="H57" s="27"/>
      <c r="I57" s="27"/>
      <c r="J57" s="27"/>
      <c r="K57" s="27"/>
      <c r="L57" s="27"/>
      <c r="M57" s="27"/>
      <c r="N57" s="27"/>
    </row>
    <row r="58" spans="2:14">
      <c r="B58" s="3" t="s">
        <v>8</v>
      </c>
      <c r="C58" s="27"/>
      <c r="D58" s="27">
        <f t="shared" ref="D58:I62" si="53">D15/C15-1</f>
        <v>0.17245415528677333</v>
      </c>
      <c r="E58" s="27">
        <f t="shared" si="53"/>
        <v>0.17737104825291183</v>
      </c>
      <c r="F58" s="27">
        <f t="shared" si="53"/>
        <v>-3.0525720746184315E-2</v>
      </c>
      <c r="G58" s="27">
        <f t="shared" si="53"/>
        <v>0.10466472303206986</v>
      </c>
      <c r="H58" s="27">
        <f t="shared" si="53"/>
        <v>2.2433359725521296E-2</v>
      </c>
      <c r="I58" s="27">
        <f t="shared" si="53"/>
        <v>-7.9762519359834805E-2</v>
      </c>
      <c r="J58" s="27">
        <f t="shared" ref="J58:N62" si="54">J15/I15-1</f>
        <v>5.4053873658130636E-2</v>
      </c>
      <c r="K58" s="27">
        <f t="shared" si="54"/>
        <v>2.0633256365795827E-2</v>
      </c>
      <c r="L58" s="27">
        <f t="shared" si="54"/>
        <v>2.0635965730974037E-2</v>
      </c>
      <c r="M58" s="27">
        <f t="shared" si="54"/>
        <v>2.0638684992626999E-2</v>
      </c>
      <c r="N58" s="27">
        <f t="shared" si="54"/>
        <v>2.0641414172389183E-2</v>
      </c>
    </row>
    <row r="59" spans="2:14">
      <c r="B59" s="3" t="s">
        <v>9</v>
      </c>
      <c r="C59" s="33"/>
      <c r="D59" s="33">
        <f t="shared" ref="D59:E59" si="55">D16/C16-1</f>
        <v>0.2753623188405796</v>
      </c>
      <c r="E59" s="33">
        <f t="shared" si="55"/>
        <v>0.17871900826446274</v>
      </c>
      <c r="F59" s="27">
        <f t="shared" si="53"/>
        <v>-2.1034180543383019E-2</v>
      </c>
      <c r="G59" s="27">
        <f t="shared" si="53"/>
        <v>0.10564010743061769</v>
      </c>
      <c r="H59" s="27">
        <f t="shared" si="53"/>
        <v>6.4777327935223727E-3</v>
      </c>
      <c r="I59" s="27">
        <f t="shared" si="53"/>
        <v>-7.0796460176991149E-2</v>
      </c>
      <c r="J59" s="27">
        <f t="shared" si="54"/>
        <v>5.7362051400131175E-2</v>
      </c>
      <c r="K59" s="27">
        <f t="shared" si="54"/>
        <v>2.0633256365796049E-2</v>
      </c>
      <c r="L59" s="27">
        <f t="shared" si="54"/>
        <v>2.0635965730974037E-2</v>
      </c>
      <c r="M59" s="27">
        <f t="shared" si="54"/>
        <v>2.0638684992626999E-2</v>
      </c>
      <c r="N59" s="27">
        <f t="shared" si="54"/>
        <v>2.0641414172389183E-2</v>
      </c>
    </row>
    <row r="60" spans="2:14">
      <c r="B60" s="5" t="s">
        <v>10</v>
      </c>
      <c r="C60" s="31"/>
      <c r="D60" s="31">
        <f t="shared" ref="D60:E60" si="56">D17/C17-1</f>
        <v>0.12915742793791574</v>
      </c>
      <c r="E60" s="31">
        <f t="shared" si="56"/>
        <v>0.17673048600883656</v>
      </c>
      <c r="F60" s="31">
        <f t="shared" si="53"/>
        <v>-3.5043804755944929E-2</v>
      </c>
      <c r="G60" s="31">
        <f t="shared" si="53"/>
        <v>0.10419368785127547</v>
      </c>
      <c r="H60" s="31">
        <f t="shared" si="53"/>
        <v>3.0148786217697676E-2</v>
      </c>
      <c r="I60" s="31">
        <f t="shared" si="53"/>
        <v>-8.3998479665526427E-2</v>
      </c>
      <c r="J60" s="31">
        <f t="shared" si="54"/>
        <v>5.2468419180117687E-2</v>
      </c>
      <c r="K60" s="31">
        <f t="shared" si="54"/>
        <v>2.0633256365796049E-2</v>
      </c>
      <c r="L60" s="31">
        <f t="shared" si="54"/>
        <v>2.0635965730974037E-2</v>
      </c>
      <c r="M60" s="31">
        <f t="shared" si="54"/>
        <v>2.0638684992626999E-2</v>
      </c>
      <c r="N60" s="31">
        <f t="shared" si="54"/>
        <v>2.0641414172389183E-2</v>
      </c>
    </row>
    <row r="61" spans="2:14">
      <c r="B61" s="6" t="s">
        <v>11</v>
      </c>
      <c r="C61" s="33"/>
      <c r="D61" s="33">
        <f t="shared" ref="D61:E61" si="57">D18/C18-1</f>
        <v>0.19402985074626855</v>
      </c>
      <c r="E61" s="33">
        <f t="shared" si="57"/>
        <v>0.32499999999999996</v>
      </c>
      <c r="F61" s="33">
        <f t="shared" si="53"/>
        <v>3.7735849056603765E-2</v>
      </c>
      <c r="G61" s="33">
        <f t="shared" si="53"/>
        <v>0.11818181818181817</v>
      </c>
      <c r="H61" s="33">
        <f t="shared" si="53"/>
        <v>0.29268292682926833</v>
      </c>
      <c r="I61" s="33">
        <f t="shared" si="53"/>
        <v>6.2893081761006275E-2</v>
      </c>
      <c r="J61" s="33">
        <f t="shared" si="54"/>
        <v>5.060013204547853E-2</v>
      </c>
      <c r="K61" s="33">
        <f t="shared" si="54"/>
        <v>2.0633256365796049E-2</v>
      </c>
      <c r="L61" s="33">
        <f t="shared" si="54"/>
        <v>2.0635965730974037E-2</v>
      </c>
      <c r="M61" s="33">
        <f t="shared" si="54"/>
        <v>2.0638684992626999E-2</v>
      </c>
      <c r="N61" s="33">
        <f t="shared" si="54"/>
        <v>2.0641414172389183E-2</v>
      </c>
    </row>
    <row r="62" spans="2:14" ht="15">
      <c r="B62" s="26" t="s">
        <v>12</v>
      </c>
      <c r="C62" s="32"/>
      <c r="D62" s="32">
        <f t="shared" ref="D62:E62" si="58">D19/C19-1</f>
        <v>0.12665515256188842</v>
      </c>
      <c r="E62" s="32">
        <f t="shared" si="58"/>
        <v>0.17066939192641795</v>
      </c>
      <c r="F62" s="32">
        <f t="shared" si="53"/>
        <v>-3.841117415975559E-2</v>
      </c>
      <c r="G62" s="32">
        <f t="shared" si="53"/>
        <v>0.10349523377212888</v>
      </c>
      <c r="H62" s="32">
        <f t="shared" si="53"/>
        <v>1.6865487453722849E-2</v>
      </c>
      <c r="I62" s="32">
        <f t="shared" si="53"/>
        <v>-9.3446601941747587E-2</v>
      </c>
      <c r="J62" s="32">
        <f t="shared" si="54"/>
        <v>5.2609311873448306E-2</v>
      </c>
      <c r="K62" s="32">
        <f t="shared" si="54"/>
        <v>2.0633256365796049E-2</v>
      </c>
      <c r="L62" s="32">
        <f t="shared" si="54"/>
        <v>2.0635965730974259E-2</v>
      </c>
      <c r="M62" s="32">
        <f t="shared" si="54"/>
        <v>2.0638684992626999E-2</v>
      </c>
      <c r="N62" s="32">
        <f t="shared" si="54"/>
        <v>2.0641414172389183E-2</v>
      </c>
    </row>
    <row r="65" spans="1:16" ht="15">
      <c r="A65" s="174" t="s">
        <v>190</v>
      </c>
    </row>
    <row r="66" spans="1:16" ht="15" thickBot="1">
      <c r="B66" s="182"/>
      <c r="C66" s="183">
        <f t="shared" ref="C66:F66" si="59">C5</f>
        <v>39447</v>
      </c>
      <c r="D66" s="183">
        <f t="shared" si="59"/>
        <v>39813</v>
      </c>
      <c r="E66" s="183">
        <f t="shared" si="59"/>
        <v>40178</v>
      </c>
      <c r="F66" s="183">
        <f t="shared" si="59"/>
        <v>40543</v>
      </c>
      <c r="G66" s="183">
        <f t="shared" ref="G66:N66" si="60">G5</f>
        <v>40908</v>
      </c>
      <c r="H66" s="183">
        <f t="shared" si="60"/>
        <v>41274</v>
      </c>
      <c r="I66" s="183">
        <f t="shared" si="60"/>
        <v>41639</v>
      </c>
      <c r="J66" s="183">
        <f t="shared" si="60"/>
        <v>42004</v>
      </c>
      <c r="K66" s="183">
        <f t="shared" si="60"/>
        <v>42369</v>
      </c>
      <c r="L66" s="183">
        <f t="shared" si="60"/>
        <v>42735</v>
      </c>
      <c r="M66" s="183">
        <f t="shared" si="60"/>
        <v>43100</v>
      </c>
      <c r="N66" s="183">
        <f t="shared" si="60"/>
        <v>43465</v>
      </c>
      <c r="O66" s="182"/>
      <c r="P66" s="182"/>
    </row>
    <row r="67" spans="1:16" ht="15">
      <c r="B67" s="176"/>
      <c r="G67" s="177"/>
      <c r="H67" s="177"/>
      <c r="I67" s="177"/>
    </row>
    <row r="68" spans="1:16" ht="15">
      <c r="B68" s="179" t="s">
        <v>196</v>
      </c>
      <c r="G68" s="177"/>
      <c r="H68" s="177"/>
      <c r="I68" s="177"/>
    </row>
    <row r="69" spans="1:16">
      <c r="B69" s="178" t="s">
        <v>204</v>
      </c>
      <c r="G69" s="184">
        <v>2878</v>
      </c>
      <c r="H69" s="184">
        <v>2971</v>
      </c>
      <c r="I69" s="184">
        <v>3072</v>
      </c>
      <c r="J69" s="155">
        <f>I69*(1+J70)</f>
        <v>3194.88</v>
      </c>
      <c r="K69" s="155">
        <f t="shared" ref="K69:N69" si="61">J69*(1+K70)</f>
        <v>3322.6752000000001</v>
      </c>
      <c r="L69" s="155">
        <f t="shared" si="61"/>
        <v>3455.5822080000003</v>
      </c>
      <c r="M69" s="155">
        <f t="shared" si="61"/>
        <v>3593.8054963200002</v>
      </c>
      <c r="N69" s="155">
        <f t="shared" si="61"/>
        <v>3737.5577161728002</v>
      </c>
      <c r="O69" s="184"/>
    </row>
    <row r="70" spans="1:16">
      <c r="B70" s="190" t="s">
        <v>205</v>
      </c>
      <c r="G70" s="315"/>
      <c r="H70" s="185">
        <f>H69/G69-1</f>
        <v>3.2314107018763139E-2</v>
      </c>
      <c r="I70" s="185">
        <f>I69/H69-1</f>
        <v>3.3995287781891648E-2</v>
      </c>
      <c r="J70" s="186">
        <v>0.04</v>
      </c>
      <c r="K70" s="186">
        <v>0.04</v>
      </c>
      <c r="L70" s="186">
        <v>0.04</v>
      </c>
      <c r="M70" s="186">
        <v>0.04</v>
      </c>
      <c r="N70" s="186">
        <v>0.04</v>
      </c>
    </row>
    <row r="71" spans="1:16" hidden="1">
      <c r="B71" s="178"/>
      <c r="G71" s="184"/>
      <c r="H71" s="184"/>
      <c r="I71" s="184"/>
    </row>
    <row r="72" spans="1:16">
      <c r="B72" s="178" t="s">
        <v>197</v>
      </c>
      <c r="G72" s="187">
        <v>4895</v>
      </c>
      <c r="H72" s="187">
        <v>5032</v>
      </c>
      <c r="I72" s="187">
        <v>5012</v>
      </c>
      <c r="J72" s="155">
        <f>I72*(1+J73)</f>
        <v>5062.12</v>
      </c>
      <c r="K72" s="155">
        <f t="shared" ref="K72:N72" si="62">J72*(1+K73)</f>
        <v>5112.7411999999995</v>
      </c>
      <c r="L72" s="155">
        <f t="shared" si="62"/>
        <v>5163.8686119999993</v>
      </c>
      <c r="M72" s="155">
        <f t="shared" si="62"/>
        <v>5215.5072981199992</v>
      </c>
      <c r="N72" s="155">
        <f t="shared" si="62"/>
        <v>5267.6623711011989</v>
      </c>
    </row>
    <row r="73" spans="1:16">
      <c r="B73" s="190" t="s">
        <v>205</v>
      </c>
      <c r="G73" s="187"/>
      <c r="H73" s="185">
        <f>H72/G72-1</f>
        <v>2.7987742594484111E-2</v>
      </c>
      <c r="I73" s="185">
        <f>I72/H72-1</f>
        <v>-3.9745627980921627E-3</v>
      </c>
      <c r="J73" s="186">
        <v>0.01</v>
      </c>
      <c r="K73" s="186">
        <v>0.01</v>
      </c>
      <c r="L73" s="186">
        <v>0.01</v>
      </c>
      <c r="M73" s="186">
        <v>0.01</v>
      </c>
      <c r="N73" s="186">
        <v>0.01</v>
      </c>
    </row>
    <row r="74" spans="1:16" hidden="1">
      <c r="B74" s="178"/>
      <c r="G74" s="187"/>
      <c r="H74" s="187"/>
      <c r="I74" s="187"/>
    </row>
    <row r="75" spans="1:16">
      <c r="B75" s="178" t="s">
        <v>198</v>
      </c>
      <c r="G75" s="187">
        <v>3508</v>
      </c>
      <c r="H75" s="187">
        <v>3508</v>
      </c>
      <c r="I75" s="187">
        <v>3508</v>
      </c>
      <c r="J75" s="155">
        <f>I75*(1+J76)</f>
        <v>3543.08</v>
      </c>
      <c r="K75" s="155">
        <f t="shared" ref="K75:N75" si="63">J75*(1+K76)</f>
        <v>3578.5108</v>
      </c>
      <c r="L75" s="155">
        <f t="shared" si="63"/>
        <v>3614.2959080000001</v>
      </c>
      <c r="M75" s="155">
        <f t="shared" si="63"/>
        <v>3650.4388670799999</v>
      </c>
      <c r="N75" s="155">
        <f t="shared" si="63"/>
        <v>3686.9432557507998</v>
      </c>
    </row>
    <row r="76" spans="1:16">
      <c r="B76" s="190" t="s">
        <v>205</v>
      </c>
      <c r="G76" s="187"/>
      <c r="H76" s="185">
        <f>H75/G75-1</f>
        <v>0</v>
      </c>
      <c r="I76" s="185">
        <f t="shared" ref="I76" si="64">I75/H75-1</f>
        <v>0</v>
      </c>
      <c r="J76" s="186">
        <v>0.01</v>
      </c>
      <c r="K76" s="186">
        <v>0.01</v>
      </c>
      <c r="L76" s="186">
        <v>0.01</v>
      </c>
      <c r="M76" s="186">
        <v>0.01</v>
      </c>
      <c r="N76" s="186">
        <v>0.01</v>
      </c>
    </row>
    <row r="77" spans="1:16" hidden="1">
      <c r="B77" s="178"/>
      <c r="G77" s="187"/>
      <c r="H77" s="187"/>
      <c r="I77" s="187"/>
    </row>
    <row r="78" spans="1:16">
      <c r="B78" s="178" t="s">
        <v>199</v>
      </c>
      <c r="G78" s="187">
        <v>2074</v>
      </c>
      <c r="H78" s="187">
        <v>2264</v>
      </c>
      <c r="I78" s="187">
        <v>2472</v>
      </c>
      <c r="J78" s="155">
        <f>I78*(1+J79)</f>
        <v>2719.2000000000003</v>
      </c>
      <c r="K78" s="155">
        <f t="shared" ref="K78:N78" si="65">J78*(1+K79)</f>
        <v>2991.1200000000003</v>
      </c>
      <c r="L78" s="155">
        <f t="shared" si="65"/>
        <v>3290.2320000000004</v>
      </c>
      <c r="M78" s="155">
        <f t="shared" si="65"/>
        <v>3619.255200000001</v>
      </c>
      <c r="N78" s="155">
        <f t="shared" si="65"/>
        <v>3981.1807200000012</v>
      </c>
    </row>
    <row r="79" spans="1:16">
      <c r="B79" s="190" t="s">
        <v>205</v>
      </c>
      <c r="G79" s="187"/>
      <c r="H79" s="185">
        <f>H78/G78-1</f>
        <v>9.1610414657666395E-2</v>
      </c>
      <c r="I79" s="185">
        <f>I78/H78-1</f>
        <v>9.1872791519434616E-2</v>
      </c>
      <c r="J79" s="186">
        <v>0.1</v>
      </c>
      <c r="K79" s="186">
        <v>0.1</v>
      </c>
      <c r="L79" s="186">
        <v>0.1</v>
      </c>
      <c r="M79" s="186">
        <v>0.1</v>
      </c>
      <c r="N79" s="186">
        <v>0.1</v>
      </c>
    </row>
    <row r="80" spans="1:16" hidden="1">
      <c r="B80" s="178"/>
      <c r="G80" s="187"/>
      <c r="H80" s="187"/>
      <c r="I80" s="187"/>
    </row>
    <row r="81" spans="2:14">
      <c r="B81" s="178" t="s">
        <v>200</v>
      </c>
      <c r="G81" s="187">
        <v>1207</v>
      </c>
      <c r="H81" s="187">
        <v>1241</v>
      </c>
      <c r="I81" s="187">
        <v>1257</v>
      </c>
      <c r="J81" s="155">
        <f>I81*(1+J82)</f>
        <v>1275.8549999999998</v>
      </c>
      <c r="K81" s="155">
        <f t="shared" ref="K81:N81" si="66">J81*(1+K82)</f>
        <v>1294.9928249999996</v>
      </c>
      <c r="L81" s="155">
        <f t="shared" si="66"/>
        <v>1314.4177173749995</v>
      </c>
      <c r="M81" s="155">
        <f t="shared" si="66"/>
        <v>1334.1339831356242</v>
      </c>
      <c r="N81" s="155">
        <f t="shared" si="66"/>
        <v>1354.1459928826584</v>
      </c>
    </row>
    <row r="82" spans="2:14">
      <c r="B82" s="190" t="s">
        <v>205</v>
      </c>
      <c r="G82" s="187"/>
      <c r="H82" s="185">
        <f>H81/G81-1</f>
        <v>2.8169014084507005E-2</v>
      </c>
      <c r="I82" s="185">
        <f>I81/H81-1</f>
        <v>1.2892828364222453E-2</v>
      </c>
      <c r="J82" s="186">
        <v>1.4999999999999999E-2</v>
      </c>
      <c r="K82" s="186">
        <v>1.4999999999999999E-2</v>
      </c>
      <c r="L82" s="186">
        <v>1.4999999999999999E-2</v>
      </c>
      <c r="M82" s="186">
        <v>1.4999999999999999E-2</v>
      </c>
      <c r="N82" s="186">
        <v>1.4999999999999999E-2</v>
      </c>
    </row>
    <row r="83" spans="2:14" hidden="1">
      <c r="B83" s="178"/>
      <c r="G83" s="187"/>
      <c r="H83" s="187"/>
      <c r="I83" s="187"/>
    </row>
    <row r="84" spans="2:14">
      <c r="B84" s="179" t="s">
        <v>201</v>
      </c>
      <c r="G84" s="188">
        <f>SUM(G69:G81)</f>
        <v>14562</v>
      </c>
      <c r="H84" s="188">
        <f t="shared" ref="H84:I84" si="67">SUM(H69:H81)</f>
        <v>15016.151912264271</v>
      </c>
      <c r="I84" s="188">
        <f t="shared" si="67"/>
        <v>15321.121893516503</v>
      </c>
      <c r="J84" s="155">
        <f>I84*(1+J85)</f>
        <v>15627.544331386835</v>
      </c>
      <c r="K84" s="155">
        <f t="shared" ref="K84:N84" si="68">J84*(1+K85)</f>
        <v>15940.095218014572</v>
      </c>
      <c r="L84" s="155">
        <f t="shared" si="68"/>
        <v>16258.897122374865</v>
      </c>
      <c r="M84" s="155">
        <f t="shared" si="68"/>
        <v>16584.075064822362</v>
      </c>
      <c r="N84" s="155">
        <f t="shared" si="68"/>
        <v>16915.756566118809</v>
      </c>
    </row>
    <row r="85" spans="2:14">
      <c r="B85" s="176"/>
      <c r="G85" s="188"/>
      <c r="H85" s="185">
        <f>H84/G84-1</f>
        <v>3.118746822306484E-2</v>
      </c>
      <c r="I85" s="185">
        <f t="shared" ref="I85" si="69">I84/H84-1</f>
        <v>2.0309462972544434E-2</v>
      </c>
      <c r="J85" s="186">
        <v>0.02</v>
      </c>
      <c r="K85" s="186">
        <v>0.02</v>
      </c>
      <c r="L85" s="186">
        <v>0.02</v>
      </c>
      <c r="M85" s="186">
        <v>0.02</v>
      </c>
      <c r="N85" s="186">
        <v>0.02</v>
      </c>
    </row>
    <row r="86" spans="2:14">
      <c r="B86" s="176"/>
      <c r="G86" s="188"/>
      <c r="H86" s="185"/>
      <c r="I86" s="185"/>
    </row>
    <row r="87" spans="2:14">
      <c r="B87" s="179" t="s">
        <v>203</v>
      </c>
      <c r="G87" s="187">
        <v>2172</v>
      </c>
      <c r="H87" s="187">
        <v>2160</v>
      </c>
      <c r="I87" s="187">
        <v>2211</v>
      </c>
      <c r="J87" s="155">
        <f>I87*(1+J88)</f>
        <v>2266.2749999999996</v>
      </c>
      <c r="K87" s="155">
        <f t="shared" ref="K87:N87" si="70">J87*(1+K88)</f>
        <v>2322.9318749999993</v>
      </c>
      <c r="L87" s="155">
        <f t="shared" si="70"/>
        <v>2381.0051718749992</v>
      </c>
      <c r="M87" s="155">
        <f t="shared" si="70"/>
        <v>2440.5303011718738</v>
      </c>
      <c r="N87" s="155">
        <f t="shared" si="70"/>
        <v>2501.5435587011702</v>
      </c>
    </row>
    <row r="88" spans="2:14">
      <c r="B88" s="190" t="s">
        <v>205</v>
      </c>
      <c r="G88" s="187"/>
      <c r="H88" s="185">
        <f>H87/G87-1</f>
        <v>-5.5248618784530246E-3</v>
      </c>
      <c r="I88" s="185">
        <f>I87/H87-1</f>
        <v>2.3611111111111027E-2</v>
      </c>
      <c r="J88" s="186">
        <v>2.5000000000000001E-2</v>
      </c>
      <c r="K88" s="186">
        <v>2.5000000000000001E-2</v>
      </c>
      <c r="L88" s="186">
        <v>2.5000000000000001E-2</v>
      </c>
      <c r="M88" s="186">
        <v>2.5000000000000001E-2</v>
      </c>
      <c r="N88" s="186">
        <v>2.5000000000000001E-2</v>
      </c>
    </row>
    <row r="89" spans="2:14">
      <c r="B89" s="179"/>
      <c r="G89" s="187"/>
      <c r="H89" s="187"/>
      <c r="I89" s="187"/>
    </row>
    <row r="90" spans="2:14" ht="15.75" thickBot="1">
      <c r="B90" s="180" t="s">
        <v>202</v>
      </c>
      <c r="C90" s="181"/>
      <c r="D90" s="181"/>
      <c r="E90" s="181"/>
      <c r="F90" s="181"/>
      <c r="G90" s="189">
        <f>G84+G87</f>
        <v>16734</v>
      </c>
      <c r="H90" s="189">
        <f t="shared" ref="H90:N90" si="71">H84+H87</f>
        <v>17176.151912264271</v>
      </c>
      <c r="I90" s="189">
        <f t="shared" si="71"/>
        <v>17532.121893516502</v>
      </c>
      <c r="J90" s="189">
        <f t="shared" si="71"/>
        <v>17893.819331386832</v>
      </c>
      <c r="K90" s="189">
        <f t="shared" si="71"/>
        <v>18263.027093014571</v>
      </c>
      <c r="L90" s="189">
        <f t="shared" si="71"/>
        <v>18639.902294249863</v>
      </c>
      <c r="M90" s="189">
        <f t="shared" si="71"/>
        <v>19024.605365994237</v>
      </c>
      <c r="N90" s="189">
        <f t="shared" si="71"/>
        <v>19417.30012481998</v>
      </c>
    </row>
    <row r="91" spans="2:14" ht="15" thickTop="1"/>
    <row r="93" spans="2:14" ht="15">
      <c r="B93" s="246" t="s">
        <v>230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N52"/>
  <sheetViews>
    <sheetView workbookViewId="0">
      <pane xSplit="2" ySplit="5" topLeftCell="F7" activePane="bottomRight" state="frozen"/>
      <selection pane="topRight" activeCell="C1" sqref="C1"/>
      <selection pane="bottomLeft" activeCell="A6" sqref="A6"/>
      <selection pane="bottomRight" activeCell="H19" sqref="H19"/>
    </sheetView>
  </sheetViews>
  <sheetFormatPr defaultRowHeight="14.25"/>
  <cols>
    <col min="1" max="1" width="2.7109375" style="23" customWidth="1"/>
    <col min="2" max="2" width="36.28515625" style="23" customWidth="1"/>
    <col min="3" max="4" width="11.5703125" style="23" hidden="1" customWidth="1"/>
    <col min="5" max="5" width="12.28515625" style="23" hidden="1" customWidth="1"/>
    <col min="6" max="14" width="12.28515625" style="23" bestFit="1" customWidth="1"/>
    <col min="15" max="16384" width="9.140625" style="23"/>
  </cols>
  <sheetData>
    <row r="1" spans="1:14" ht="23.25">
      <c r="A1" s="22" t="str">
        <f>IS!A1</f>
        <v>Colgate-Palmolive Company</v>
      </c>
    </row>
    <row r="3" spans="1:14" ht="20.25">
      <c r="A3" s="1" t="s">
        <v>20</v>
      </c>
    </row>
    <row r="5" spans="1:14" ht="15.75" thickBot="1">
      <c r="B5" s="38"/>
      <c r="C5" s="62">
        <f>IS!C5</f>
        <v>39447</v>
      </c>
      <c r="D5" s="62">
        <f>IS!D5</f>
        <v>39813</v>
      </c>
      <c r="E5" s="62">
        <f>IS!E5</f>
        <v>40178</v>
      </c>
      <c r="F5" s="62">
        <f>IS!F5</f>
        <v>40543</v>
      </c>
      <c r="G5" s="62">
        <f>IS!G5</f>
        <v>40908</v>
      </c>
      <c r="H5" s="62">
        <f>IS!H5</f>
        <v>41274</v>
      </c>
      <c r="I5" s="62">
        <f>IS!I5</f>
        <v>41639</v>
      </c>
      <c r="J5" s="62">
        <f>IS!J5</f>
        <v>42004</v>
      </c>
      <c r="K5" s="62">
        <f>IS!K5</f>
        <v>42369</v>
      </c>
      <c r="L5" s="62">
        <f>IS!L5</f>
        <v>42735</v>
      </c>
      <c r="M5" s="62">
        <f>IS!M5</f>
        <v>43100</v>
      </c>
      <c r="N5" s="62">
        <f>IS!N5</f>
        <v>43465</v>
      </c>
    </row>
    <row r="6" spans="1:14" ht="15">
      <c r="B6" s="25" t="s">
        <v>21</v>
      </c>
    </row>
    <row r="7" spans="1:14">
      <c r="B7" s="3" t="s">
        <v>22</v>
      </c>
    </row>
    <row r="8" spans="1:14">
      <c r="B8" s="5" t="s">
        <v>23</v>
      </c>
      <c r="C8" s="49">
        <v>429</v>
      </c>
      <c r="D8" s="49">
        <v>555</v>
      </c>
      <c r="E8" s="49">
        <v>600</v>
      </c>
      <c r="F8" s="49">
        <v>490</v>
      </c>
      <c r="G8" s="49">
        <v>878</v>
      </c>
      <c r="H8" s="49"/>
      <c r="I8" s="49"/>
      <c r="J8" s="225"/>
      <c r="K8" s="225"/>
      <c r="L8" s="225"/>
      <c r="M8" s="225"/>
      <c r="N8" s="225"/>
    </row>
    <row r="9" spans="1:14">
      <c r="B9" s="5" t="s">
        <v>232</v>
      </c>
      <c r="C9" s="49">
        <v>1681</v>
      </c>
      <c r="D9" s="49">
        <v>1592</v>
      </c>
      <c r="E9" s="49">
        <v>1626</v>
      </c>
      <c r="F9" s="50">
        <v>1610</v>
      </c>
      <c r="G9" s="50">
        <v>1675</v>
      </c>
      <c r="H9" s="50">
        <f>'Working Capital'!H10</f>
        <v>1668</v>
      </c>
      <c r="I9" s="317">
        <f>'Working Capital'!I10</f>
        <v>1636</v>
      </c>
      <c r="J9" s="50">
        <f>'Working Capital'!J10</f>
        <v>1715.8456893110661</v>
      </c>
      <c r="K9" s="50">
        <f>'Working Capital'!K10</f>
        <v>1751.2491733027668</v>
      </c>
      <c r="L9" s="50">
        <f>'Working Capital'!L10</f>
        <v>1787.3878912294388</v>
      </c>
      <c r="M9" s="50">
        <f>'Working Capital'!M10</f>
        <v>1824.2772268761596</v>
      </c>
      <c r="N9" s="50">
        <f>'Working Capital'!N10</f>
        <v>1861.9328886813678</v>
      </c>
    </row>
    <row r="10" spans="1:14">
      <c r="B10" s="5" t="s">
        <v>25</v>
      </c>
      <c r="C10" s="49">
        <v>1171</v>
      </c>
      <c r="D10" s="49">
        <v>1197</v>
      </c>
      <c r="E10" s="49">
        <v>1209</v>
      </c>
      <c r="F10" s="50">
        <v>1222</v>
      </c>
      <c r="G10" s="50">
        <v>1327</v>
      </c>
      <c r="H10" s="50">
        <f>'Working Capital'!H11</f>
        <v>1365</v>
      </c>
      <c r="I10" s="50">
        <f>'Working Capital'!I11</f>
        <v>1425</v>
      </c>
      <c r="J10" s="50">
        <f>'Working Capital'!J11</f>
        <v>1424.1519221281847</v>
      </c>
      <c r="K10" s="50">
        <f>'Working Capital'!K11</f>
        <v>1453.5368138412964</v>
      </c>
      <c r="L10" s="50">
        <f>'Working Capital'!L11</f>
        <v>1483.5319497204341</v>
      </c>
      <c r="M10" s="50">
        <f>'Working Capital'!M11</f>
        <v>1514.1500983072124</v>
      </c>
      <c r="N10" s="50">
        <f>'Working Capital'!N11</f>
        <v>1545.4042976055352</v>
      </c>
    </row>
    <row r="11" spans="1:14">
      <c r="B11" s="5" t="s">
        <v>26</v>
      </c>
      <c r="C11" s="51">
        <v>338</v>
      </c>
      <c r="D11" s="51">
        <v>366</v>
      </c>
      <c r="E11" s="51">
        <v>375</v>
      </c>
      <c r="F11" s="52">
        <v>408</v>
      </c>
      <c r="G11" s="52">
        <v>522</v>
      </c>
      <c r="H11" s="50">
        <f>'Working Capital'!H12</f>
        <v>639</v>
      </c>
      <c r="I11" s="50">
        <f>'Working Capital'!I12</f>
        <v>799</v>
      </c>
      <c r="J11" s="50">
        <f>'Working Capital'!J12</f>
        <v>805.22186991240744</v>
      </c>
      <c r="K11" s="50">
        <f>'Working Capital'!K12</f>
        <v>821.83621918565564</v>
      </c>
      <c r="L11" s="50">
        <f>'Working Capital'!L12</f>
        <v>838.79560324124384</v>
      </c>
      <c r="M11" s="50">
        <f>'Working Capital'!M12</f>
        <v>856.10724146974064</v>
      </c>
      <c r="N11" s="50">
        <f>'Working Capital'!N12</f>
        <v>873.77850561689911</v>
      </c>
    </row>
    <row r="12" spans="1:14">
      <c r="B12" s="5" t="s">
        <v>27</v>
      </c>
      <c r="C12" s="43">
        <f t="shared" ref="C12:N12" si="0">SUM(C8:C11)</f>
        <v>3619</v>
      </c>
      <c r="D12" s="43">
        <f t="shared" si="0"/>
        <v>3710</v>
      </c>
      <c r="E12" s="43">
        <f t="shared" si="0"/>
        <v>3810</v>
      </c>
      <c r="F12" s="43">
        <f t="shared" si="0"/>
        <v>3730</v>
      </c>
      <c r="G12" s="43">
        <f t="shared" si="0"/>
        <v>4402</v>
      </c>
      <c r="H12" s="43">
        <f t="shared" si="0"/>
        <v>3672</v>
      </c>
      <c r="I12" s="43">
        <f t="shared" si="0"/>
        <v>3860</v>
      </c>
      <c r="J12" s="43">
        <f t="shared" si="0"/>
        <v>3945.219481351658</v>
      </c>
      <c r="K12" s="43">
        <f t="shared" si="0"/>
        <v>4026.6222063297191</v>
      </c>
      <c r="L12" s="43">
        <f t="shared" si="0"/>
        <v>4109.7154441911171</v>
      </c>
      <c r="M12" s="43">
        <f t="shared" si="0"/>
        <v>4194.534566653113</v>
      </c>
      <c r="N12" s="43">
        <f t="shared" si="0"/>
        <v>4281.1156919038021</v>
      </c>
    </row>
    <row r="13" spans="1:14">
      <c r="B13" s="3"/>
      <c r="C13" s="42"/>
      <c r="D13" s="42"/>
      <c r="E13" s="42"/>
      <c r="F13" s="9"/>
      <c r="G13" s="9"/>
      <c r="H13" s="45">
        <f t="shared" ref="H13:N13" si="1">SUM(H8:H12)</f>
        <v>7344</v>
      </c>
      <c r="I13" s="45">
        <f t="shared" si="1"/>
        <v>7720</v>
      </c>
      <c r="J13" s="45">
        <f t="shared" si="1"/>
        <v>7890.4389627033161</v>
      </c>
      <c r="K13" s="45">
        <f t="shared" si="1"/>
        <v>8053.2444126594382</v>
      </c>
      <c r="L13" s="45">
        <f t="shared" si="1"/>
        <v>8219.4308883822341</v>
      </c>
      <c r="M13" s="45">
        <f t="shared" si="1"/>
        <v>8389.0691333062259</v>
      </c>
      <c r="N13" s="45">
        <f t="shared" si="1"/>
        <v>8562.2313838076043</v>
      </c>
    </row>
    <row r="14" spans="1:14">
      <c r="B14" s="3" t="s">
        <v>28</v>
      </c>
      <c r="C14" s="49">
        <v>3015</v>
      </c>
      <c r="D14" s="49">
        <v>3119</v>
      </c>
      <c r="E14" s="49">
        <v>3516</v>
      </c>
      <c r="F14" s="17">
        <v>3693</v>
      </c>
      <c r="G14" s="17">
        <v>3668</v>
      </c>
      <c r="H14" s="17">
        <v>3842</v>
      </c>
      <c r="I14" s="17">
        <v>4083</v>
      </c>
      <c r="J14" s="215">
        <f>'[1]Dep Capex '!J13</f>
        <v>4382.5963094842518</v>
      </c>
      <c r="K14" s="215">
        <f>'[1]Dep Capex '!K13</f>
        <v>4662.3220725266292</v>
      </c>
      <c r="L14" s="215">
        <f>'[1]Dep Capex '!L13</f>
        <v>4921.7692268928377</v>
      </c>
      <c r="M14" s="215">
        <f>'[1]Dep Capex '!M13</f>
        <v>5160.5212828212589</v>
      </c>
      <c r="N14" s="215">
        <f>'[1]Dep Capex '!N13</f>
        <v>5378.153147815342</v>
      </c>
    </row>
    <row r="15" spans="1:14" hidden="1">
      <c r="B15" s="3" t="s">
        <v>29</v>
      </c>
      <c r="C15" s="49">
        <v>2272</v>
      </c>
      <c r="D15" s="49">
        <v>2152</v>
      </c>
      <c r="E15" s="49">
        <v>2302</v>
      </c>
      <c r="F15" s="17">
        <v>2362</v>
      </c>
      <c r="G15" s="17">
        <v>2494</v>
      </c>
      <c r="H15" s="17">
        <v>2500</v>
      </c>
      <c r="I15" s="17">
        <v>2474</v>
      </c>
      <c r="J15" s="9">
        <f>I15</f>
        <v>2474</v>
      </c>
      <c r="K15" s="9">
        <f t="shared" ref="K15:N15" si="2">J15</f>
        <v>2474</v>
      </c>
      <c r="L15" s="9">
        <f t="shared" si="2"/>
        <v>2474</v>
      </c>
      <c r="M15" s="9">
        <f t="shared" si="2"/>
        <v>2474</v>
      </c>
      <c r="N15" s="9">
        <f t="shared" si="2"/>
        <v>2474</v>
      </c>
    </row>
    <row r="16" spans="1:14" hidden="1">
      <c r="B16" s="3" t="s">
        <v>30</v>
      </c>
      <c r="C16" s="49">
        <v>845</v>
      </c>
      <c r="D16" s="49">
        <v>834</v>
      </c>
      <c r="E16" s="49">
        <v>821</v>
      </c>
      <c r="F16" s="17">
        <v>831</v>
      </c>
      <c r="G16" s="17">
        <v>1504</v>
      </c>
      <c r="H16" s="17">
        <v>1499</v>
      </c>
      <c r="I16" s="17">
        <v>1496</v>
      </c>
      <c r="J16" s="215">
        <f>'[1]Amort Intangible'!J14</f>
        <v>1467</v>
      </c>
      <c r="K16" s="215">
        <f>'[1]Amort Intangible'!K14</f>
        <v>1438</v>
      </c>
      <c r="L16" s="215">
        <f>'[1]Amort Intangible'!L14</f>
        <v>1409</v>
      </c>
      <c r="M16" s="215">
        <f>'[1]Amort Intangible'!M14</f>
        <v>1380</v>
      </c>
      <c r="N16" s="215">
        <f>'[1]Amort Intangible'!N14</f>
        <v>1351</v>
      </c>
    </row>
    <row r="17" spans="2:14" hidden="1">
      <c r="B17" s="3" t="s">
        <v>31</v>
      </c>
      <c r="C17" s="49">
        <v>0</v>
      </c>
      <c r="D17" s="49">
        <v>0</v>
      </c>
      <c r="E17" s="49">
        <v>0</v>
      </c>
      <c r="F17" s="17">
        <v>84</v>
      </c>
      <c r="G17" s="17">
        <v>115</v>
      </c>
      <c r="H17" s="17">
        <v>92</v>
      </c>
      <c r="I17" s="17">
        <v>77</v>
      </c>
      <c r="J17" s="215">
        <f>'[1]Other Long Term Asset Liability'!J8</f>
        <v>77</v>
      </c>
      <c r="K17" s="215">
        <f>'[1]Other Long Term Asset Liability'!K8</f>
        <v>77</v>
      </c>
      <c r="L17" s="215">
        <f>'[1]Other Long Term Asset Liability'!L8</f>
        <v>77</v>
      </c>
      <c r="M17" s="215">
        <f>'[1]Other Long Term Asset Liability'!M8</f>
        <v>77</v>
      </c>
      <c r="N17" s="215">
        <f>'[1]Other Long Term Asset Liability'!N8</f>
        <v>77</v>
      </c>
    </row>
    <row r="18" spans="2:14" hidden="1">
      <c r="B18" s="5" t="s">
        <v>32</v>
      </c>
      <c r="C18" s="51">
        <v>361</v>
      </c>
      <c r="D18" s="51">
        <v>164</v>
      </c>
      <c r="E18" s="51">
        <v>685</v>
      </c>
      <c r="F18" s="52">
        <v>472</v>
      </c>
      <c r="G18" s="52">
        <v>541</v>
      </c>
      <c r="H18" s="52">
        <v>905</v>
      </c>
      <c r="I18" s="52">
        <v>924</v>
      </c>
      <c r="J18" s="200">
        <f>'[1]Other Long Term Asset Liability'!J9</f>
        <v>924</v>
      </c>
      <c r="K18" s="200">
        <f>'[1]Other Long Term Asset Liability'!K9</f>
        <v>924</v>
      </c>
      <c r="L18" s="200">
        <f>'[1]Other Long Term Asset Liability'!L9</f>
        <v>924</v>
      </c>
      <c r="M18" s="200">
        <f>'[1]Other Long Term Asset Liability'!M9</f>
        <v>924</v>
      </c>
      <c r="N18" s="200">
        <f>'[1]Other Long Term Asset Liability'!N9</f>
        <v>924</v>
      </c>
    </row>
    <row r="19" spans="2:14">
      <c r="B19" s="39" t="s">
        <v>33</v>
      </c>
      <c r="C19" s="42">
        <f t="shared" ref="C19:G19" si="3">SUM(C12:C18)</f>
        <v>10112</v>
      </c>
      <c r="D19" s="42">
        <f t="shared" si="3"/>
        <v>9979</v>
      </c>
      <c r="E19" s="42">
        <f t="shared" si="3"/>
        <v>11134</v>
      </c>
      <c r="F19" s="42">
        <f t="shared" si="3"/>
        <v>11172</v>
      </c>
      <c r="G19" s="42">
        <f t="shared" si="3"/>
        <v>12724</v>
      </c>
      <c r="H19" s="42">
        <f t="shared" ref="H19:N19" si="4">SUM(H12:H18)</f>
        <v>19854</v>
      </c>
      <c r="I19" s="42">
        <f t="shared" si="4"/>
        <v>20634</v>
      </c>
      <c r="J19" s="42">
        <f t="shared" si="4"/>
        <v>21160.254753539226</v>
      </c>
      <c r="K19" s="42">
        <f t="shared" si="4"/>
        <v>21655.188691515788</v>
      </c>
      <c r="L19" s="42">
        <f t="shared" si="4"/>
        <v>22134.91555946619</v>
      </c>
      <c r="M19" s="42">
        <f t="shared" si="4"/>
        <v>22599.124982780595</v>
      </c>
      <c r="N19" s="42">
        <f t="shared" si="4"/>
        <v>23047.500223526749</v>
      </c>
    </row>
    <row r="20" spans="2:14" ht="15" thickBot="1">
      <c r="B20" s="7"/>
      <c r="C20" s="46"/>
      <c r="D20" s="46"/>
      <c r="E20" s="46"/>
      <c r="F20" s="16"/>
      <c r="G20" s="16"/>
      <c r="H20" s="16"/>
      <c r="I20" s="16"/>
      <c r="J20" s="16"/>
      <c r="K20" s="16"/>
      <c r="L20" s="16"/>
      <c r="M20" s="16"/>
      <c r="N20" s="16"/>
    </row>
    <row r="21" spans="2:14" ht="15">
      <c r="B21" s="40" t="s">
        <v>34</v>
      </c>
      <c r="C21" s="42"/>
      <c r="D21" s="42"/>
      <c r="E21" s="42"/>
      <c r="F21" s="47"/>
      <c r="G21" s="47"/>
      <c r="H21" s="47"/>
      <c r="I21" s="47"/>
      <c r="J21" s="47"/>
      <c r="K21" s="47"/>
      <c r="L21" s="47"/>
      <c r="M21" s="47"/>
      <c r="N21" s="47"/>
    </row>
    <row r="22" spans="2:14">
      <c r="B22" s="3" t="s">
        <v>35</v>
      </c>
      <c r="C22" s="42"/>
      <c r="D22" s="42"/>
      <c r="E22" s="42"/>
      <c r="F22" s="9"/>
      <c r="G22" s="9"/>
      <c r="H22" s="9"/>
      <c r="I22" s="9"/>
      <c r="J22" s="9"/>
      <c r="K22" s="9"/>
      <c r="L22" s="9"/>
      <c r="M22" s="9"/>
      <c r="N22" s="9"/>
    </row>
    <row r="23" spans="2:14" hidden="1">
      <c r="B23" s="5" t="s">
        <v>36</v>
      </c>
      <c r="C23" s="49">
        <v>156</v>
      </c>
      <c r="D23" s="49">
        <v>107</v>
      </c>
      <c r="E23" s="49">
        <v>35</v>
      </c>
      <c r="F23" s="49">
        <v>48</v>
      </c>
      <c r="G23" s="49">
        <v>34</v>
      </c>
      <c r="H23" s="49"/>
      <c r="I23" s="49"/>
      <c r="J23" s="49"/>
      <c r="K23" s="49"/>
      <c r="L23" s="49"/>
      <c r="M23" s="49"/>
      <c r="N23" s="49"/>
    </row>
    <row r="24" spans="2:14" hidden="1">
      <c r="B24" s="5" t="s">
        <v>37</v>
      </c>
      <c r="C24" s="49">
        <v>138</v>
      </c>
      <c r="D24" s="49">
        <v>91</v>
      </c>
      <c r="E24" s="49">
        <v>326</v>
      </c>
      <c r="F24" s="50">
        <v>561</v>
      </c>
      <c r="G24" s="50">
        <v>346</v>
      </c>
      <c r="H24" s="50"/>
      <c r="I24" s="50"/>
      <c r="J24" s="199"/>
      <c r="K24" s="199"/>
      <c r="L24" s="199"/>
      <c r="M24" s="199"/>
      <c r="N24" s="199"/>
    </row>
    <row r="25" spans="2:14" hidden="1">
      <c r="B25" s="5" t="s">
        <v>38</v>
      </c>
      <c r="C25" s="49">
        <v>1067</v>
      </c>
      <c r="D25" s="49">
        <v>1061</v>
      </c>
      <c r="E25" s="49">
        <v>1172</v>
      </c>
      <c r="F25" s="50">
        <v>1165</v>
      </c>
      <c r="G25" s="50">
        <v>1244</v>
      </c>
      <c r="H25" s="50"/>
      <c r="I25" s="50"/>
      <c r="J25" s="199"/>
      <c r="K25" s="199"/>
      <c r="L25" s="199"/>
      <c r="M25" s="199"/>
      <c r="N25" s="199"/>
    </row>
    <row r="26" spans="2:14" hidden="1">
      <c r="B26" s="5" t="s">
        <v>39</v>
      </c>
      <c r="C26" s="53">
        <v>263</v>
      </c>
      <c r="D26" s="53">
        <v>272</v>
      </c>
      <c r="E26" s="53">
        <v>387</v>
      </c>
      <c r="F26" s="50">
        <v>272</v>
      </c>
      <c r="G26" s="50">
        <v>392</v>
      </c>
      <c r="H26" s="50"/>
      <c r="I26" s="50"/>
      <c r="J26" s="199"/>
      <c r="K26" s="199"/>
      <c r="L26" s="199"/>
      <c r="M26" s="199"/>
      <c r="N26" s="199"/>
    </row>
    <row r="27" spans="2:14" hidden="1">
      <c r="B27" s="5" t="s">
        <v>40</v>
      </c>
      <c r="C27" s="51">
        <v>1539</v>
      </c>
      <c r="D27" s="51">
        <v>1421</v>
      </c>
      <c r="E27" s="51">
        <v>1679</v>
      </c>
      <c r="F27" s="52">
        <v>1682</v>
      </c>
      <c r="G27" s="52">
        <v>1700</v>
      </c>
      <c r="H27" s="52"/>
      <c r="I27" s="52"/>
      <c r="J27" s="200"/>
      <c r="K27" s="200"/>
      <c r="L27" s="200"/>
      <c r="M27" s="200"/>
      <c r="N27" s="200"/>
    </row>
    <row r="28" spans="2:14">
      <c r="B28" s="5" t="s">
        <v>41</v>
      </c>
      <c r="C28" s="45">
        <f t="shared" ref="C28:G28" si="5">SUM(C23:C27)</f>
        <v>3163</v>
      </c>
      <c r="D28" s="45">
        <f t="shared" si="5"/>
        <v>2952</v>
      </c>
      <c r="E28" s="45">
        <f t="shared" si="5"/>
        <v>3599</v>
      </c>
      <c r="F28" s="45">
        <f t="shared" si="5"/>
        <v>3728</v>
      </c>
      <c r="G28" s="45">
        <f t="shared" si="5"/>
        <v>3716</v>
      </c>
      <c r="H28" s="45">
        <f t="shared" ref="H28:N28" si="6">SUM(H23:H27)</f>
        <v>0</v>
      </c>
      <c r="I28" s="45">
        <f t="shared" si="6"/>
        <v>0</v>
      </c>
      <c r="J28" s="45">
        <f t="shared" si="6"/>
        <v>0</v>
      </c>
      <c r="K28" s="45">
        <f t="shared" si="6"/>
        <v>0</v>
      </c>
      <c r="L28" s="45">
        <f t="shared" si="6"/>
        <v>0</v>
      </c>
      <c r="M28" s="45">
        <f t="shared" si="6"/>
        <v>0</v>
      </c>
      <c r="N28" s="45">
        <f t="shared" si="6"/>
        <v>0</v>
      </c>
    </row>
    <row r="29" spans="2:14">
      <c r="B29" s="3"/>
      <c r="C29" s="42"/>
      <c r="D29" s="42"/>
      <c r="E29" s="42"/>
      <c r="F29" s="9"/>
      <c r="G29" s="9"/>
      <c r="H29" s="9"/>
      <c r="I29" s="9"/>
      <c r="J29" s="319">
        <f>[1]Debt!J19</f>
        <v>0</v>
      </c>
      <c r="K29" s="319">
        <f>[1]Debt!K19</f>
        <v>939.62553786773196</v>
      </c>
      <c r="L29" s="319">
        <f>[1]Debt!L19</f>
        <v>679.70223273669922</v>
      </c>
      <c r="M29" s="319">
        <f>[1]Debt!M19</f>
        <v>1038.8901450441597</v>
      </c>
      <c r="N29" s="319">
        <f>[1]Debt!N19</f>
        <v>1022.8764268427183</v>
      </c>
    </row>
    <row r="30" spans="2:14" s="233" customFormat="1" ht="15">
      <c r="B30" s="40" t="s">
        <v>213</v>
      </c>
      <c r="C30" s="42"/>
      <c r="D30" s="42"/>
      <c r="E30" s="42"/>
      <c r="F30" s="9"/>
      <c r="G30" s="9"/>
      <c r="H30" s="9"/>
      <c r="I30" s="9"/>
      <c r="J30" s="9"/>
      <c r="K30" s="9"/>
      <c r="L30" s="9"/>
      <c r="M30" s="9"/>
      <c r="N30" s="9"/>
    </row>
    <row r="31" spans="2:14">
      <c r="B31" s="3"/>
      <c r="C31" s="42"/>
      <c r="D31" s="42"/>
      <c r="E31" s="42"/>
      <c r="F31" s="9"/>
      <c r="G31" s="9"/>
      <c r="H31" s="9"/>
      <c r="I31" s="9"/>
      <c r="J31" s="9"/>
      <c r="K31" s="9"/>
      <c r="L31" s="9"/>
      <c r="M31" s="9"/>
      <c r="N31" s="9"/>
    </row>
    <row r="32" spans="2:14">
      <c r="B32" s="3" t="s">
        <v>42</v>
      </c>
      <c r="C32" s="49">
        <v>3222</v>
      </c>
      <c r="D32" s="49">
        <v>3585</v>
      </c>
      <c r="E32" s="49">
        <v>2821</v>
      </c>
      <c r="F32" s="17">
        <v>2815</v>
      </c>
      <c r="G32" s="17">
        <v>4430</v>
      </c>
      <c r="H32" s="17">
        <v>4926</v>
      </c>
      <c r="I32" s="17">
        <v>4749</v>
      </c>
      <c r="J32" s="225">
        <f>[1]Debt!J28</f>
        <v>4258</v>
      </c>
      <c r="K32" s="225">
        <f>[1]Debt!K28</f>
        <v>4003</v>
      </c>
      <c r="L32" s="225">
        <f>[1]Debt!L28</f>
        <v>3339</v>
      </c>
      <c r="M32" s="225">
        <f>[1]Debt!M28</f>
        <v>2644</v>
      </c>
      <c r="N32" s="225">
        <f>[1]Debt!N28</f>
        <v>1944</v>
      </c>
    </row>
    <row r="33" spans="2:14">
      <c r="B33" s="3" t="s">
        <v>31</v>
      </c>
      <c r="C33" s="49">
        <v>264</v>
      </c>
      <c r="D33" s="49">
        <v>82</v>
      </c>
      <c r="E33" s="49">
        <v>82</v>
      </c>
      <c r="F33" s="17">
        <v>108</v>
      </c>
      <c r="G33" s="17">
        <v>252</v>
      </c>
      <c r="H33" s="17">
        <v>293</v>
      </c>
      <c r="I33" s="17">
        <v>444</v>
      </c>
      <c r="J33" s="199">
        <f>'[1]Other Long Term Asset Liability'!J12</f>
        <v>444</v>
      </c>
      <c r="K33" s="199">
        <f>'[1]Other Long Term Asset Liability'!K12</f>
        <v>444</v>
      </c>
      <c r="L33" s="199">
        <f>'[1]Other Long Term Asset Liability'!L12</f>
        <v>444</v>
      </c>
      <c r="M33" s="199">
        <f>'[1]Other Long Term Asset Liability'!M12</f>
        <v>444</v>
      </c>
      <c r="N33" s="199">
        <f>'[1]Other Long Term Asset Liability'!N12</f>
        <v>444</v>
      </c>
    </row>
    <row r="34" spans="2:14">
      <c r="B34" s="3" t="s">
        <v>43</v>
      </c>
      <c r="C34" s="51">
        <v>1067</v>
      </c>
      <c r="D34" s="51">
        <v>1316</v>
      </c>
      <c r="E34" s="51">
        <v>1375</v>
      </c>
      <c r="F34" s="18">
        <v>1704</v>
      </c>
      <c r="G34" s="18">
        <v>1785</v>
      </c>
      <c r="H34" s="18">
        <v>2049</v>
      </c>
      <c r="I34" s="18">
        <v>1677</v>
      </c>
      <c r="J34" s="200">
        <f>'[1]Other Long Term Asset Liability'!J13</f>
        <v>1677</v>
      </c>
      <c r="K34" s="200">
        <f>'[1]Other Long Term Asset Liability'!K13</f>
        <v>1677</v>
      </c>
      <c r="L34" s="200">
        <f>'[1]Other Long Term Asset Liability'!L13</f>
        <v>1677</v>
      </c>
      <c r="M34" s="200">
        <f>'[1]Other Long Term Asset Liability'!M13</f>
        <v>1677</v>
      </c>
      <c r="N34" s="200">
        <f>'[1]Other Long Term Asset Liability'!N13</f>
        <v>1677</v>
      </c>
    </row>
    <row r="35" spans="2:14">
      <c r="B35" s="39" t="s">
        <v>44</v>
      </c>
      <c r="C35" s="43">
        <f t="shared" ref="C35:G35" si="7">SUM(C28:C34)</f>
        <v>7716</v>
      </c>
      <c r="D35" s="43">
        <f t="shared" si="7"/>
        <v>7935</v>
      </c>
      <c r="E35" s="43">
        <f t="shared" si="7"/>
        <v>7877</v>
      </c>
      <c r="F35" s="43">
        <f t="shared" si="7"/>
        <v>8355</v>
      </c>
      <c r="G35" s="43">
        <f t="shared" si="7"/>
        <v>10183</v>
      </c>
      <c r="H35" s="43">
        <f t="shared" ref="H35:N35" si="8">SUM(H28:H34)</f>
        <v>7268</v>
      </c>
      <c r="I35" s="43">
        <f t="shared" si="8"/>
        <v>6870</v>
      </c>
      <c r="J35" s="43">
        <f t="shared" si="8"/>
        <v>6379</v>
      </c>
      <c r="K35" s="43">
        <f t="shared" si="8"/>
        <v>7063.6255378677324</v>
      </c>
      <c r="L35" s="43">
        <f t="shared" si="8"/>
        <v>6139.7022327366994</v>
      </c>
      <c r="M35" s="43">
        <f t="shared" si="8"/>
        <v>5803.8901450441599</v>
      </c>
      <c r="N35" s="43">
        <f t="shared" si="8"/>
        <v>5087.8764268427185</v>
      </c>
    </row>
    <row r="36" spans="2:14">
      <c r="B36" s="6" t="s">
        <v>45</v>
      </c>
      <c r="C36" s="20" t="s">
        <v>58</v>
      </c>
      <c r="D36" s="20" t="s">
        <v>58</v>
      </c>
      <c r="E36" s="20" t="s">
        <v>58</v>
      </c>
      <c r="F36" s="20" t="s">
        <v>58</v>
      </c>
      <c r="G36" s="20" t="s">
        <v>58</v>
      </c>
      <c r="H36" s="20"/>
      <c r="I36" s="20"/>
      <c r="J36" s="20"/>
      <c r="K36" s="20"/>
      <c r="L36" s="20"/>
      <c r="M36" s="20"/>
      <c r="N36" s="20"/>
    </row>
    <row r="37" spans="2:14">
      <c r="B37" s="3" t="s">
        <v>46</v>
      </c>
      <c r="C37" s="42"/>
      <c r="D37" s="42"/>
      <c r="E37" s="42"/>
      <c r="F37" s="9"/>
      <c r="G37" s="9"/>
      <c r="H37" s="9"/>
      <c r="I37" s="9"/>
      <c r="J37" s="9"/>
      <c r="K37" s="9"/>
      <c r="L37" s="9"/>
      <c r="M37" s="9"/>
      <c r="N37" s="9"/>
    </row>
    <row r="38" spans="2:14" hidden="1">
      <c r="B38" s="5" t="s">
        <v>47</v>
      </c>
      <c r="C38" s="49">
        <v>198</v>
      </c>
      <c r="D38" s="49">
        <v>181</v>
      </c>
      <c r="E38" s="49">
        <v>169</v>
      </c>
      <c r="F38" s="20" t="s">
        <v>58</v>
      </c>
      <c r="G38" s="20" t="s">
        <v>58</v>
      </c>
      <c r="H38" s="20"/>
      <c r="I38" s="20"/>
      <c r="J38" s="20"/>
      <c r="K38" s="20"/>
      <c r="L38" s="20"/>
      <c r="M38" s="20"/>
      <c r="N38" s="20"/>
    </row>
    <row r="39" spans="2:14" hidden="1">
      <c r="B39" s="5" t="s">
        <v>48</v>
      </c>
      <c r="C39" s="49">
        <v>733</v>
      </c>
      <c r="D39" s="49">
        <v>733</v>
      </c>
      <c r="E39" s="49">
        <v>733</v>
      </c>
      <c r="F39" s="50">
        <v>733</v>
      </c>
      <c r="G39" s="50">
        <v>733</v>
      </c>
      <c r="H39" s="50"/>
      <c r="I39" s="50"/>
      <c r="J39" s="50"/>
      <c r="K39" s="50"/>
      <c r="L39" s="50"/>
      <c r="M39" s="50"/>
      <c r="N39" s="50"/>
    </row>
    <row r="40" spans="2:14" hidden="1">
      <c r="B40" s="5" t="s">
        <v>49</v>
      </c>
      <c r="C40" s="49">
        <v>1518</v>
      </c>
      <c r="D40" s="49">
        <v>1610</v>
      </c>
      <c r="E40" s="49">
        <v>1764</v>
      </c>
      <c r="F40" s="50">
        <v>1132</v>
      </c>
      <c r="G40" s="50">
        <v>1336</v>
      </c>
      <c r="H40" s="50"/>
      <c r="I40" s="50"/>
      <c r="J40" s="50"/>
      <c r="K40" s="50"/>
      <c r="L40" s="50"/>
      <c r="M40" s="50"/>
      <c r="N40" s="50"/>
    </row>
    <row r="41" spans="2:14" hidden="1">
      <c r="B41" s="5" t="s">
        <v>50</v>
      </c>
      <c r="C41" s="49">
        <v>10628</v>
      </c>
      <c r="D41" s="49">
        <v>11760</v>
      </c>
      <c r="E41" s="49">
        <v>13157</v>
      </c>
      <c r="F41" s="50">
        <v>14329</v>
      </c>
      <c r="G41" s="50">
        <v>15649</v>
      </c>
      <c r="H41" s="50"/>
      <c r="I41" s="50"/>
      <c r="J41" s="50"/>
      <c r="K41" s="50"/>
      <c r="L41" s="50"/>
      <c r="M41" s="50"/>
      <c r="N41" s="50"/>
    </row>
    <row r="42" spans="2:14" hidden="1">
      <c r="B42" s="5" t="s">
        <v>51</v>
      </c>
      <c r="C42" s="53">
        <v>-1668</v>
      </c>
      <c r="D42" s="53">
        <v>-2477</v>
      </c>
      <c r="E42" s="53">
        <v>-2096</v>
      </c>
      <c r="F42" s="54">
        <v>-2115</v>
      </c>
      <c r="G42" s="54">
        <v>-2475</v>
      </c>
      <c r="H42" s="54"/>
      <c r="I42" s="54"/>
      <c r="J42" s="54"/>
      <c r="K42" s="54"/>
      <c r="L42" s="54"/>
      <c r="M42" s="54"/>
      <c r="N42" s="54"/>
    </row>
    <row r="43" spans="2:14" hidden="1">
      <c r="B43" s="5" t="s">
        <v>52</v>
      </c>
      <c r="C43" s="53">
        <v>-219</v>
      </c>
      <c r="D43" s="53">
        <v>-187</v>
      </c>
      <c r="E43" s="53">
        <v>-133</v>
      </c>
      <c r="F43" s="53">
        <v>-99</v>
      </c>
      <c r="G43" s="53">
        <v>-60</v>
      </c>
      <c r="H43" s="53"/>
      <c r="I43" s="53"/>
      <c r="J43" s="53"/>
      <c r="K43" s="53"/>
      <c r="L43" s="53"/>
      <c r="M43" s="53"/>
      <c r="N43" s="53"/>
    </row>
    <row r="44" spans="2:14" hidden="1">
      <c r="B44" s="5" t="s">
        <v>53</v>
      </c>
      <c r="C44" s="51">
        <v>-8904</v>
      </c>
      <c r="D44" s="51">
        <v>-9697</v>
      </c>
      <c r="E44" s="51">
        <v>-10478</v>
      </c>
      <c r="F44" s="51">
        <v>-11305</v>
      </c>
      <c r="G44" s="51">
        <v>-12808</v>
      </c>
      <c r="H44" s="51"/>
      <c r="I44" s="51"/>
      <c r="J44" s="51"/>
      <c r="K44" s="51"/>
      <c r="L44" s="51"/>
      <c r="M44" s="51"/>
      <c r="N44" s="51"/>
    </row>
    <row r="45" spans="2:14" ht="28.5">
      <c r="B45" s="39" t="s">
        <v>54</v>
      </c>
      <c r="C45" s="43">
        <f t="shared" ref="C45:G45" si="9">SUM(C38:C44)</f>
        <v>2286</v>
      </c>
      <c r="D45" s="43">
        <f t="shared" si="9"/>
        <v>1923</v>
      </c>
      <c r="E45" s="43">
        <f t="shared" si="9"/>
        <v>3116</v>
      </c>
      <c r="F45" s="43">
        <f t="shared" si="9"/>
        <v>2675</v>
      </c>
      <c r="G45" s="43">
        <f t="shared" si="9"/>
        <v>2375</v>
      </c>
      <c r="H45" s="43"/>
      <c r="I45" s="43"/>
      <c r="J45" s="199"/>
      <c r="K45" s="199"/>
      <c r="L45" s="199"/>
      <c r="M45" s="199"/>
      <c r="N45" s="199"/>
    </row>
    <row r="46" spans="2:14">
      <c r="B46" s="5" t="s">
        <v>55</v>
      </c>
      <c r="C46" s="51">
        <v>110</v>
      </c>
      <c r="D46" s="51">
        <v>121</v>
      </c>
      <c r="E46" s="51">
        <v>141</v>
      </c>
      <c r="F46" s="50">
        <v>142</v>
      </c>
      <c r="G46" s="50">
        <v>166</v>
      </c>
      <c r="H46" s="50"/>
      <c r="I46" s="50"/>
      <c r="J46" s="199"/>
      <c r="K46" s="199"/>
      <c r="L46" s="199"/>
      <c r="M46" s="199"/>
      <c r="N46" s="199"/>
    </row>
    <row r="47" spans="2:14">
      <c r="B47" s="6" t="s">
        <v>56</v>
      </c>
      <c r="C47" s="48">
        <f t="shared" ref="C47:G47" si="10">SUM(C45:C46)</f>
        <v>2396</v>
      </c>
      <c r="D47" s="48">
        <f t="shared" si="10"/>
        <v>2044</v>
      </c>
      <c r="E47" s="48">
        <f t="shared" si="10"/>
        <v>3257</v>
      </c>
      <c r="F47" s="48">
        <f t="shared" si="10"/>
        <v>2817</v>
      </c>
      <c r="G47" s="48">
        <f t="shared" si="10"/>
        <v>2541</v>
      </c>
      <c r="H47" s="48"/>
      <c r="I47" s="48"/>
      <c r="J47" s="48"/>
      <c r="K47" s="48"/>
      <c r="L47" s="48"/>
      <c r="M47" s="48"/>
      <c r="N47" s="48"/>
    </row>
    <row r="48" spans="2:14" ht="28.5">
      <c r="B48" s="39" t="s">
        <v>57</v>
      </c>
      <c r="C48" s="42">
        <f t="shared" ref="C48:G48" si="11">C47+C35</f>
        <v>10112</v>
      </c>
      <c r="D48" s="42">
        <f t="shared" si="11"/>
        <v>9979</v>
      </c>
      <c r="E48" s="42">
        <f t="shared" si="11"/>
        <v>11134</v>
      </c>
      <c r="F48" s="42">
        <f t="shared" si="11"/>
        <v>11172</v>
      </c>
      <c r="G48" s="42">
        <f t="shared" si="11"/>
        <v>12724</v>
      </c>
      <c r="H48" s="42"/>
      <c r="I48" s="42"/>
      <c r="J48" s="42"/>
      <c r="K48" s="42"/>
      <c r="L48" s="42"/>
      <c r="M48" s="42"/>
      <c r="N48" s="42"/>
    </row>
    <row r="49" spans="2:14" ht="15" thickBot="1">
      <c r="B49" s="41"/>
      <c r="C49" s="44"/>
      <c r="D49" s="44"/>
      <c r="E49" s="44"/>
      <c r="F49" s="41"/>
      <c r="G49" s="41"/>
      <c r="H49" s="41"/>
      <c r="I49" s="41"/>
      <c r="J49" s="41"/>
      <c r="K49" s="41"/>
      <c r="L49" s="41"/>
      <c r="M49" s="41"/>
      <c r="N49" s="41"/>
    </row>
    <row r="51" spans="2:14">
      <c r="B51" s="23" t="s">
        <v>112</v>
      </c>
      <c r="J51" s="84"/>
      <c r="K51" s="84"/>
      <c r="L51" s="84"/>
      <c r="M51" s="84"/>
      <c r="N51" s="84"/>
    </row>
    <row r="52" spans="2:14">
      <c r="J52" s="5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55"/>
  <sheetViews>
    <sheetView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F1" sqref="F1"/>
    </sheetView>
  </sheetViews>
  <sheetFormatPr defaultRowHeight="12.75"/>
  <cols>
    <col min="1" max="1" width="1.85546875" style="56" customWidth="1"/>
    <col min="2" max="2" width="44.85546875" style="56" customWidth="1"/>
    <col min="3" max="3" width="0.140625" style="56" customWidth="1"/>
    <col min="4" max="5" width="10.28515625" style="56" customWidth="1"/>
    <col min="6" max="7" width="10.28515625" style="58" customWidth="1"/>
    <col min="8" max="8" width="10.5703125" style="57" customWidth="1"/>
    <col min="9" max="9" width="10.5703125" style="56" customWidth="1"/>
    <col min="10" max="10" width="10.5703125" style="56" bestFit="1" customWidth="1"/>
    <col min="11" max="14" width="9.28515625" style="56" bestFit="1" customWidth="1"/>
    <col min="15" max="16384" width="9.140625" style="56"/>
  </cols>
  <sheetData>
    <row r="1" spans="1:14" ht="23.25">
      <c r="A1" s="22" t="str">
        <f>IS!A1</f>
        <v>Colgate-Palmolive Company</v>
      </c>
    </row>
    <row r="2" spans="1:14" s="23" customFormat="1" ht="14.25"/>
    <row r="3" spans="1:14" s="23" customFormat="1" ht="20.25">
      <c r="A3" s="1" t="s">
        <v>97</v>
      </c>
    </row>
    <row r="4" spans="1:14" s="23" customFormat="1" ht="14.25"/>
    <row r="5" spans="1:14" ht="15.75" thickBot="1">
      <c r="B5" s="63"/>
      <c r="C5" s="62">
        <f>BS!C5</f>
        <v>39447</v>
      </c>
      <c r="D5" s="62">
        <f>BS!D5</f>
        <v>39813</v>
      </c>
      <c r="E5" s="62">
        <f>BS!E5</f>
        <v>40178</v>
      </c>
      <c r="F5" s="62">
        <f>BS!F5</f>
        <v>40543</v>
      </c>
      <c r="G5" s="62">
        <f>BS!G5</f>
        <v>40908</v>
      </c>
      <c r="H5" s="62">
        <f>BS!H5</f>
        <v>41274</v>
      </c>
      <c r="I5" s="62">
        <f>BS!I5</f>
        <v>41639</v>
      </c>
      <c r="J5" s="62">
        <f>BS!J5</f>
        <v>42004</v>
      </c>
      <c r="K5" s="62">
        <f>BS!K5</f>
        <v>42369</v>
      </c>
      <c r="L5" s="62">
        <f>BS!L5</f>
        <v>42735</v>
      </c>
      <c r="M5" s="62">
        <f>BS!M5</f>
        <v>43100</v>
      </c>
      <c r="N5" s="62">
        <f>BS!N5</f>
        <v>43465</v>
      </c>
    </row>
    <row r="6" spans="1:14" ht="15">
      <c r="B6" s="64" t="s">
        <v>59</v>
      </c>
      <c r="C6" s="63"/>
      <c r="D6" s="63"/>
      <c r="E6" s="63"/>
      <c r="F6" s="63"/>
      <c r="G6" s="63"/>
      <c r="H6" s="64"/>
    </row>
    <row r="7" spans="1:14" ht="14.25">
      <c r="B7" s="63" t="s">
        <v>60</v>
      </c>
      <c r="C7" s="63"/>
      <c r="D7" s="63"/>
      <c r="E7" s="63"/>
      <c r="F7" s="65">
        <v>2313</v>
      </c>
      <c r="G7" s="65">
        <v>2554</v>
      </c>
      <c r="H7" s="65">
        <v>2631</v>
      </c>
      <c r="I7" s="65">
        <v>2410</v>
      </c>
      <c r="J7" s="218">
        <f>[1]IS!J17</f>
        <v>2576.0222218886506</v>
      </c>
      <c r="K7" s="218">
        <f>[1]IS!K17</f>
        <v>2628.2746382131963</v>
      </c>
      <c r="L7" s="218">
        <f>[1]IS!L17</f>
        <v>2679.4871886452534</v>
      </c>
      <c r="M7" s="218">
        <f>[1]IS!M17</f>
        <v>2739.6822497237563</v>
      </c>
      <c r="N7" s="218">
        <f>[1]IS!N17</f>
        <v>2793.2907123386312</v>
      </c>
    </row>
    <row r="8" spans="1:14" ht="14.25">
      <c r="B8" s="63" t="s">
        <v>233</v>
      </c>
      <c r="C8" s="63"/>
      <c r="D8" s="63"/>
      <c r="E8" s="63"/>
      <c r="F8" s="66"/>
      <c r="G8" s="63"/>
      <c r="H8" s="63"/>
      <c r="I8" s="63"/>
      <c r="J8" s="219"/>
      <c r="K8" s="219"/>
      <c r="L8" s="219"/>
      <c r="M8" s="219"/>
      <c r="N8" s="219"/>
    </row>
    <row r="9" spans="1:14" ht="14.25" hidden="1">
      <c r="B9" s="63" t="s">
        <v>61</v>
      </c>
      <c r="C9" s="63"/>
      <c r="D9" s="63"/>
      <c r="E9" s="63"/>
      <c r="F9" s="66"/>
      <c r="G9" s="63"/>
      <c r="H9" s="63"/>
      <c r="I9" s="63"/>
      <c r="J9" s="219"/>
      <c r="K9" s="219"/>
      <c r="L9" s="219"/>
      <c r="M9" s="219"/>
      <c r="N9" s="219"/>
    </row>
    <row r="10" spans="1:14" ht="14.25">
      <c r="B10" s="67" t="s">
        <v>62</v>
      </c>
      <c r="C10" s="63"/>
      <c r="D10" s="63"/>
      <c r="E10" s="63"/>
      <c r="F10" s="68">
        <v>376</v>
      </c>
      <c r="G10" s="69">
        <v>421</v>
      </c>
      <c r="H10" s="69">
        <v>425</v>
      </c>
      <c r="I10" s="69">
        <v>439</v>
      </c>
      <c r="J10" s="215">
        <f>-('[1]Dep Capex '!J12+'[1]Amort Intangible'!J12)</f>
        <v>445.15646377122221</v>
      </c>
      <c r="K10" s="215">
        <f>-('[1]Dep Capex '!K12+'[1]Amort Intangible'!K12)</f>
        <v>479.79532067820594</v>
      </c>
      <c r="L10" s="215">
        <f>-('[1]Dep Capex '!L12+'[1]Amort Intangible'!L12)</f>
        <v>515.14893740378693</v>
      </c>
      <c r="M10" s="215">
        <f>-('[1]Dep Capex '!M12+'[1]Amort Intangible'!M12)</f>
        <v>551.23215871134823</v>
      </c>
      <c r="N10" s="215">
        <f>-('[1]Dep Capex '!N12+'[1]Amort Intangible'!N12)</f>
        <v>588.06013999871664</v>
      </c>
    </row>
    <row r="11" spans="1:14" ht="14.25" hidden="1">
      <c r="B11" s="67" t="s">
        <v>63</v>
      </c>
      <c r="C11" s="63"/>
      <c r="D11" s="63"/>
      <c r="E11" s="63"/>
      <c r="F11" s="70">
        <v>86</v>
      </c>
      <c r="G11" s="69">
        <v>103</v>
      </c>
      <c r="H11" s="69">
        <v>35</v>
      </c>
      <c r="I11" s="69">
        <v>182</v>
      </c>
      <c r="J11" s="219"/>
      <c r="K11" s="219"/>
      <c r="L11" s="219"/>
      <c r="M11" s="219"/>
      <c r="N11" s="219"/>
    </row>
    <row r="12" spans="1:14" ht="14.25" hidden="1">
      <c r="B12" s="67" t="s">
        <v>64</v>
      </c>
      <c r="C12" s="63"/>
      <c r="D12" s="63"/>
      <c r="E12" s="63"/>
      <c r="F12" s="68">
        <v>271</v>
      </c>
      <c r="G12" s="71">
        <v>0</v>
      </c>
      <c r="H12" s="71">
        <v>0</v>
      </c>
      <c r="I12" s="71">
        <v>172</v>
      </c>
      <c r="J12" s="220"/>
      <c r="K12" s="220"/>
      <c r="L12" s="220"/>
      <c r="M12" s="220"/>
      <c r="N12" s="220"/>
    </row>
    <row r="13" spans="1:14" ht="14.25" hidden="1">
      <c r="B13" s="67" t="s">
        <v>65</v>
      </c>
      <c r="C13" s="63"/>
      <c r="D13" s="63"/>
      <c r="E13" s="63"/>
      <c r="F13" s="72">
        <v>-50</v>
      </c>
      <c r="G13" s="72">
        <v>-207</v>
      </c>
      <c r="H13" s="71">
        <v>0</v>
      </c>
      <c r="I13" s="71"/>
      <c r="J13" s="220"/>
      <c r="K13" s="220"/>
      <c r="L13" s="220"/>
      <c r="M13" s="220"/>
      <c r="N13" s="220"/>
    </row>
    <row r="14" spans="1:14" ht="14.25" hidden="1">
      <c r="B14" s="67" t="s">
        <v>66</v>
      </c>
      <c r="C14" s="63"/>
      <c r="D14" s="63"/>
      <c r="E14" s="63"/>
      <c r="F14" s="72">
        <v>-35</v>
      </c>
      <c r="G14" s="72">
        <v>-178</v>
      </c>
      <c r="H14" s="72">
        <v>-101</v>
      </c>
      <c r="I14" s="72">
        <v>-101</v>
      </c>
      <c r="J14" s="221"/>
      <c r="K14" s="221"/>
      <c r="L14" s="221"/>
      <c r="M14" s="221"/>
      <c r="N14" s="221"/>
    </row>
    <row r="15" spans="1:14" ht="14.25" hidden="1">
      <c r="B15" s="67" t="s">
        <v>67</v>
      </c>
      <c r="C15" s="63"/>
      <c r="D15" s="63"/>
      <c r="E15" s="63"/>
      <c r="F15" s="68">
        <v>121</v>
      </c>
      <c r="G15" s="69">
        <v>122</v>
      </c>
      <c r="H15" s="69">
        <v>120</v>
      </c>
      <c r="I15" s="69">
        <v>128</v>
      </c>
      <c r="J15" s="219"/>
      <c r="K15" s="219"/>
      <c r="L15" s="219"/>
      <c r="M15" s="219"/>
      <c r="N15" s="219"/>
    </row>
    <row r="16" spans="1:14" ht="14.25" hidden="1">
      <c r="B16" s="67" t="s">
        <v>31</v>
      </c>
      <c r="C16" s="63"/>
      <c r="D16" s="63"/>
      <c r="E16" s="63"/>
      <c r="F16" s="68">
        <v>29</v>
      </c>
      <c r="G16" s="69">
        <v>88</v>
      </c>
      <c r="H16" s="69">
        <v>63</v>
      </c>
      <c r="I16" s="69">
        <v>71</v>
      </c>
      <c r="J16" s="219"/>
      <c r="K16" s="219"/>
      <c r="L16" s="219"/>
      <c r="M16" s="219"/>
      <c r="N16" s="219"/>
    </row>
    <row r="17" spans="1:14" ht="14.25" hidden="1">
      <c r="B17" s="63" t="s">
        <v>68</v>
      </c>
      <c r="C17" s="63"/>
      <c r="D17" s="63"/>
      <c r="E17" s="63"/>
      <c r="F17" s="73"/>
      <c r="G17" s="63"/>
      <c r="H17" s="63"/>
      <c r="I17" s="63"/>
      <c r="J17" s="219"/>
      <c r="K17" s="219"/>
      <c r="L17" s="219"/>
      <c r="M17" s="219"/>
      <c r="N17" s="219"/>
    </row>
    <row r="18" spans="1:14" ht="14.25">
      <c r="B18" s="67" t="s">
        <v>69</v>
      </c>
      <c r="C18" s="63"/>
      <c r="D18" s="63"/>
      <c r="E18" s="63"/>
      <c r="F18" s="68">
        <v>40</v>
      </c>
      <c r="G18" s="68">
        <v>-130</v>
      </c>
      <c r="H18" s="68">
        <v>19</v>
      </c>
      <c r="I18" s="68">
        <v>-37</v>
      </c>
      <c r="J18" s="222">
        <f>'[1]Working Capital'!J36</f>
        <v>-79.845689311066053</v>
      </c>
      <c r="K18" s="222">
        <f>'[1]Working Capital'!K36</f>
        <v>-35.403483991700796</v>
      </c>
      <c r="L18" s="222">
        <f>'[1]Working Capital'!L36</f>
        <v>-36.138717926671916</v>
      </c>
      <c r="M18" s="222">
        <f>'[1]Working Capital'!M36</f>
        <v>-36.889335646720838</v>
      </c>
      <c r="N18" s="222">
        <f>'[1]Working Capital'!N36</f>
        <v>-37.655661805208183</v>
      </c>
    </row>
    <row r="19" spans="1:14" ht="14.25">
      <c r="B19" s="67" t="s">
        <v>70</v>
      </c>
      <c r="C19" s="63"/>
      <c r="D19" s="63"/>
      <c r="E19" s="63"/>
      <c r="F19" s="68">
        <v>-10</v>
      </c>
      <c r="G19" s="68">
        <v>-130</v>
      </c>
      <c r="H19" s="68">
        <v>-21</v>
      </c>
      <c r="I19" s="68">
        <v>-97</v>
      </c>
      <c r="J19" s="222">
        <f>'[1]Working Capital'!J37</f>
        <v>0.84807787181534877</v>
      </c>
      <c r="K19" s="222">
        <f>'[1]Working Capital'!K37</f>
        <v>-29.384891713111756</v>
      </c>
      <c r="L19" s="222">
        <f>'[1]Working Capital'!L37</f>
        <v>-29.995135879137706</v>
      </c>
      <c r="M19" s="222">
        <f>'[1]Working Capital'!M37</f>
        <v>-30.618148586778261</v>
      </c>
      <c r="N19" s="222">
        <f>'[1]Working Capital'!N37</f>
        <v>-31.254199298322874</v>
      </c>
    </row>
    <row r="20" spans="1:14" ht="14.25">
      <c r="A20" s="60"/>
      <c r="B20" s="74" t="s">
        <v>71</v>
      </c>
      <c r="C20" s="75"/>
      <c r="D20" s="75"/>
      <c r="E20" s="75"/>
      <c r="F20" s="76">
        <v>-65</v>
      </c>
      <c r="G20" s="77">
        <v>199</v>
      </c>
      <c r="H20" s="68">
        <v>-5</v>
      </c>
      <c r="I20" s="68">
        <v>24</v>
      </c>
      <c r="J20" s="222">
        <f>'[1]Working Capital'!J39+'[1]Working Capital'!J41</f>
        <v>4.278213348995223</v>
      </c>
      <c r="K20" s="222">
        <f>'[1]Working Capital'!K39+'[1]Working Capital'!K41</f>
        <v>74.039654054575522</v>
      </c>
      <c r="L20" s="222">
        <f>'[1]Working Capital'!L39+'[1]Working Capital'!L41</f>
        <v>70.190166090507319</v>
      </c>
      <c r="M20" s="222">
        <f>'[1]Working Capital'!M39+'[1]Working Capital'!M41</f>
        <v>71.648064630877798</v>
      </c>
      <c r="N20" s="222">
        <f>'[1]Working Capital'!N39+'[1]Working Capital'!N41</f>
        <v>73.136473522519736</v>
      </c>
    </row>
    <row r="21" spans="1:14" ht="14.25">
      <c r="B21" s="67" t="s">
        <v>72</v>
      </c>
      <c r="C21" s="63"/>
      <c r="D21" s="63"/>
      <c r="E21" s="63"/>
      <c r="F21" s="78">
        <v>135</v>
      </c>
      <c r="G21" s="69">
        <v>54</v>
      </c>
      <c r="H21" s="69">
        <v>30</v>
      </c>
      <c r="I21" s="69">
        <v>13</v>
      </c>
      <c r="J21" s="215">
        <f>'[1]Working Capital'!J38+'[1]Working Capital'!J40</f>
        <v>14.685855875986306</v>
      </c>
      <c r="K21" s="215">
        <f>'[1]Working Capital'!K38+'[1]Working Capital'!K40</f>
        <v>-11.251606535605276</v>
      </c>
      <c r="L21" s="215">
        <f>'[1]Working Capital'!L38+'[1]Working Capital'!L40</f>
        <v>-11.485271757645592</v>
      </c>
      <c r="M21" s="215">
        <f>'[1]Working Capital'!M38+'[1]Working Capital'!M40</f>
        <v>-11.723826111409778</v>
      </c>
      <c r="N21" s="215">
        <f>'[1]Working Capital'!N38+'[1]Working Capital'!N40</f>
        <v>-11.967372775214585</v>
      </c>
    </row>
    <row r="22" spans="1:14" s="60" customFormat="1" ht="14.25">
      <c r="A22" s="56"/>
      <c r="B22" s="63" t="s">
        <v>73</v>
      </c>
      <c r="C22" s="63"/>
      <c r="D22" s="63"/>
      <c r="E22" s="63"/>
      <c r="F22" s="79">
        <f>SUM(F7:F21)</f>
        <v>3211</v>
      </c>
      <c r="G22" s="79">
        <f>SUM(G7:G21)</f>
        <v>2896</v>
      </c>
      <c r="H22" s="79">
        <f>SUM(H7:H21)</f>
        <v>3196</v>
      </c>
      <c r="I22" s="79">
        <f>SUM(I7:I21)</f>
        <v>3204</v>
      </c>
      <c r="J22" s="79">
        <f t="shared" ref="J22:N22" si="0">SUM(J7:J21)</f>
        <v>2961.1451434456035</v>
      </c>
      <c r="K22" s="79">
        <f t="shared" si="0"/>
        <v>3106.06963070556</v>
      </c>
      <c r="L22" s="79">
        <f t="shared" si="0"/>
        <v>3187.2071665760923</v>
      </c>
      <c r="M22" s="79">
        <f t="shared" si="0"/>
        <v>3283.3311627210737</v>
      </c>
      <c r="N22" s="79">
        <f t="shared" si="0"/>
        <v>3373.610091981122</v>
      </c>
    </row>
    <row r="23" spans="1:14" ht="14.25">
      <c r="B23" s="63"/>
      <c r="C23" s="63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</row>
    <row r="24" spans="1:14" ht="15">
      <c r="B24" s="64" t="s">
        <v>74</v>
      </c>
      <c r="C24" s="63"/>
      <c r="D24" s="63"/>
      <c r="E24" s="63"/>
      <c r="F24" s="73" t="s">
        <v>75</v>
      </c>
      <c r="G24" s="63"/>
      <c r="H24" s="63"/>
      <c r="I24" s="63"/>
      <c r="J24" s="63"/>
      <c r="K24" s="63"/>
      <c r="L24" s="63"/>
      <c r="M24" s="63"/>
      <c r="N24" s="63"/>
    </row>
    <row r="25" spans="1:14" ht="14.25">
      <c r="B25" s="67" t="s">
        <v>76</v>
      </c>
      <c r="C25" s="63"/>
      <c r="D25" s="63"/>
      <c r="E25" s="63"/>
      <c r="F25" s="68">
        <v>-550</v>
      </c>
      <c r="G25" s="68">
        <v>-537</v>
      </c>
      <c r="H25" s="68">
        <v>-565</v>
      </c>
      <c r="I25" s="68">
        <v>-670</v>
      </c>
      <c r="J25" s="222">
        <f>-('[1]Dep Capex '!J7+'[1]Amort Intangible'!J7)</f>
        <v>-715.75277325547336</v>
      </c>
      <c r="K25" s="222">
        <f>-('[1]Dep Capex '!K7+'[1]Amort Intangible'!K7)</f>
        <v>-730.52108372058285</v>
      </c>
      <c r="L25" s="222">
        <f>-('[1]Dep Capex '!L7+'[1]Amort Intangible'!L7)</f>
        <v>-745.59609176999459</v>
      </c>
      <c r="M25" s="222">
        <f>-('[1]Dep Capex '!M7+'[1]Amort Intangible'!M7)</f>
        <v>-760.98421463976945</v>
      </c>
      <c r="N25" s="222">
        <f>-('[1]Dep Capex '!N7+'[1]Amort Intangible'!N7)</f>
        <v>-776.69200499279918</v>
      </c>
    </row>
    <row r="26" spans="1:14" ht="14.25" hidden="1">
      <c r="B26" s="67" t="s">
        <v>77</v>
      </c>
      <c r="C26" s="63"/>
      <c r="D26" s="63"/>
      <c r="E26" s="63"/>
      <c r="F26" s="70">
        <v>42</v>
      </c>
      <c r="G26" s="69">
        <v>263</v>
      </c>
      <c r="H26" s="69">
        <v>72</v>
      </c>
      <c r="I26" s="69">
        <v>15</v>
      </c>
      <c r="J26" s="219"/>
      <c r="K26" s="219"/>
      <c r="L26" s="219"/>
      <c r="M26" s="219"/>
      <c r="N26" s="219"/>
    </row>
    <row r="27" spans="1:14" ht="14.25" hidden="1">
      <c r="B27" s="67" t="s">
        <v>78</v>
      </c>
      <c r="C27" s="63"/>
      <c r="D27" s="63"/>
      <c r="E27" s="63"/>
      <c r="F27" s="68">
        <v>-308</v>
      </c>
      <c r="G27" s="68">
        <v>-356</v>
      </c>
      <c r="H27" s="68">
        <v>-545</v>
      </c>
      <c r="I27" s="68">
        <v>-505</v>
      </c>
      <c r="J27" s="222"/>
      <c r="K27" s="222"/>
      <c r="L27" s="222"/>
      <c r="M27" s="222"/>
      <c r="N27" s="222"/>
    </row>
    <row r="28" spans="1:14" ht="14.25" hidden="1">
      <c r="B28" s="67" t="s">
        <v>79</v>
      </c>
      <c r="C28" s="63"/>
      <c r="D28" s="63"/>
      <c r="E28" s="63"/>
      <c r="F28" s="68">
        <v>167</v>
      </c>
      <c r="G28" s="69">
        <v>423</v>
      </c>
      <c r="H28" s="69">
        <v>147</v>
      </c>
      <c r="I28" s="69">
        <v>267</v>
      </c>
      <c r="J28" s="219"/>
      <c r="K28" s="219"/>
      <c r="L28" s="219"/>
      <c r="M28" s="219"/>
      <c r="N28" s="219"/>
    </row>
    <row r="29" spans="1:14" ht="14.25" hidden="1">
      <c r="B29" s="67" t="s">
        <v>80</v>
      </c>
      <c r="C29" s="63"/>
      <c r="D29" s="63"/>
      <c r="E29" s="63"/>
      <c r="F29" s="71">
        <v>0</v>
      </c>
      <c r="G29" s="68">
        <v>-966</v>
      </c>
      <c r="H29" s="68">
        <v>-29</v>
      </c>
      <c r="I29" s="68">
        <v>-3</v>
      </c>
      <c r="J29" s="222"/>
      <c r="K29" s="222"/>
      <c r="L29" s="222"/>
      <c r="M29" s="222"/>
      <c r="N29" s="222"/>
    </row>
    <row r="30" spans="1:14" ht="14.25" hidden="1">
      <c r="B30" s="67" t="s">
        <v>81</v>
      </c>
      <c r="C30" s="63"/>
      <c r="D30" s="63"/>
      <c r="E30" s="63"/>
      <c r="F30" s="78">
        <v>-9</v>
      </c>
      <c r="G30" s="68">
        <v>-40</v>
      </c>
      <c r="H30" s="68">
        <v>55</v>
      </c>
      <c r="I30" s="68">
        <v>6</v>
      </c>
      <c r="J30" s="222"/>
      <c r="K30" s="222"/>
      <c r="L30" s="222"/>
      <c r="M30" s="222"/>
      <c r="N30" s="222"/>
    </row>
    <row r="31" spans="1:14" ht="14.25">
      <c r="B31" s="63" t="s">
        <v>82</v>
      </c>
      <c r="C31" s="63"/>
      <c r="D31" s="63"/>
      <c r="E31" s="63"/>
      <c r="F31" s="79">
        <f>SUM(F25:F30)</f>
        <v>-658</v>
      </c>
      <c r="G31" s="79">
        <f>SUM(G25:G30)</f>
        <v>-1213</v>
      </c>
      <c r="H31" s="79">
        <f>SUM(H25:H30)</f>
        <v>-865</v>
      </c>
      <c r="I31" s="79">
        <f>SUM(I25:I30)</f>
        <v>-890</v>
      </c>
      <c r="J31" s="79">
        <f t="shared" ref="J31:N31" si="1">SUM(J25:J30)</f>
        <v>-715.75277325547336</v>
      </c>
      <c r="K31" s="79">
        <f t="shared" si="1"/>
        <v>-730.52108372058285</v>
      </c>
      <c r="L31" s="79">
        <f t="shared" si="1"/>
        <v>-745.59609176999459</v>
      </c>
      <c r="M31" s="79">
        <f t="shared" si="1"/>
        <v>-760.98421463976945</v>
      </c>
      <c r="N31" s="79">
        <f t="shared" si="1"/>
        <v>-776.69200499279918</v>
      </c>
    </row>
    <row r="32" spans="1:14" ht="14.25">
      <c r="B32" s="63"/>
      <c r="C32" s="63"/>
      <c r="D32" s="63"/>
      <c r="E32" s="63"/>
      <c r="F32" s="73"/>
      <c r="G32" s="63"/>
      <c r="H32" s="63"/>
      <c r="I32" s="63"/>
      <c r="J32" s="63"/>
      <c r="K32" s="63"/>
      <c r="L32" s="63"/>
      <c r="M32" s="63"/>
      <c r="N32" s="63"/>
    </row>
    <row r="33" spans="2:14" ht="15">
      <c r="B33" s="64" t="s">
        <v>211</v>
      </c>
      <c r="C33" s="63"/>
      <c r="D33" s="63"/>
      <c r="E33" s="63"/>
      <c r="F33" s="73">
        <f>F31+F22</f>
        <v>2553</v>
      </c>
      <c r="G33" s="73">
        <f t="shared" ref="G33:I33" si="2">G31+G22</f>
        <v>1683</v>
      </c>
      <c r="H33" s="318">
        <f t="shared" si="2"/>
        <v>2331</v>
      </c>
      <c r="I33" s="318">
        <f t="shared" si="2"/>
        <v>2314</v>
      </c>
      <c r="J33" s="318">
        <f>J31+J22</f>
        <v>2245.3923701901304</v>
      </c>
      <c r="K33" s="318">
        <f t="shared" ref="K33:N33" si="3">K31+K22</f>
        <v>2375.5485469849773</v>
      </c>
      <c r="L33" s="318">
        <f t="shared" si="3"/>
        <v>2441.6110748060978</v>
      </c>
      <c r="M33" s="318">
        <f t="shared" si="3"/>
        <v>2522.3469480813042</v>
      </c>
      <c r="N33" s="318">
        <f t="shared" si="3"/>
        <v>2596.918086988323</v>
      </c>
    </row>
    <row r="34" spans="2:14" ht="14.25">
      <c r="B34" s="63"/>
      <c r="C34" s="63"/>
      <c r="D34" s="63"/>
      <c r="E34" s="63"/>
      <c r="F34" s="73"/>
      <c r="G34" s="63"/>
      <c r="H34" s="63"/>
      <c r="I34" s="63"/>
      <c r="J34" s="63"/>
      <c r="K34" s="63"/>
      <c r="L34" s="63"/>
      <c r="M34" s="63"/>
      <c r="N34" s="63"/>
    </row>
    <row r="35" spans="2:14" ht="15">
      <c r="B35" s="64" t="s">
        <v>83</v>
      </c>
      <c r="C35" s="63"/>
      <c r="D35" s="63"/>
      <c r="E35" s="63"/>
      <c r="F35" s="73" t="s">
        <v>75</v>
      </c>
      <c r="G35" s="63"/>
      <c r="H35" s="63"/>
      <c r="I35" s="63"/>
      <c r="J35" s="63"/>
      <c r="K35" s="63"/>
      <c r="L35" s="63"/>
      <c r="M35" s="63"/>
      <c r="N35" s="63"/>
    </row>
    <row r="36" spans="2:14" ht="14.25">
      <c r="B36" s="67" t="s">
        <v>84</v>
      </c>
      <c r="C36" s="63"/>
      <c r="D36" s="63"/>
      <c r="E36" s="63"/>
      <c r="F36" s="68">
        <v>-4719</v>
      </c>
      <c r="G36" s="68">
        <v>-4429</v>
      </c>
      <c r="H36" s="68">
        <v>-5011</v>
      </c>
      <c r="I36" s="68">
        <v>-7554</v>
      </c>
      <c r="J36" s="222">
        <f>[1]Debt!J25</f>
        <v>-895</v>
      </c>
      <c r="K36" s="222">
        <f>[1]Debt!K25</f>
        <v>-491</v>
      </c>
      <c r="L36" s="222">
        <f>[1]Debt!L25</f>
        <v>-255</v>
      </c>
      <c r="M36" s="222">
        <f>[1]Debt!M25</f>
        <v>-664</v>
      </c>
      <c r="N36" s="222">
        <f>[1]Debt!N25</f>
        <v>-695</v>
      </c>
    </row>
    <row r="37" spans="2:14" ht="14.25">
      <c r="B37" s="67" t="s">
        <v>85</v>
      </c>
      <c r="C37" s="63"/>
      <c r="D37" s="63"/>
      <c r="E37" s="63"/>
      <c r="F37" s="68">
        <v>5015</v>
      </c>
      <c r="G37" s="68">
        <v>5843</v>
      </c>
      <c r="H37" s="68">
        <v>5452</v>
      </c>
      <c r="I37" s="68">
        <v>7976</v>
      </c>
      <c r="J37" s="222"/>
      <c r="K37" s="222"/>
      <c r="L37" s="222"/>
      <c r="M37" s="222"/>
      <c r="N37" s="222"/>
    </row>
    <row r="38" spans="2:14" ht="14.25">
      <c r="B38" s="67" t="s">
        <v>213</v>
      </c>
      <c r="C38" s="63"/>
      <c r="D38" s="63"/>
      <c r="E38" s="63"/>
      <c r="F38" s="68"/>
      <c r="G38" s="68"/>
      <c r="H38" s="68"/>
      <c r="I38" s="68"/>
      <c r="J38" s="222">
        <f>[1]Debt!J19</f>
        <v>0</v>
      </c>
      <c r="K38" s="222">
        <f>[1]Debt!K19</f>
        <v>939.62553786773196</v>
      </c>
      <c r="L38" s="222">
        <f>[1]Debt!L19</f>
        <v>679.70223273669922</v>
      </c>
      <c r="M38" s="222">
        <f>[1]Debt!M19</f>
        <v>1038.8901450441597</v>
      </c>
      <c r="N38" s="222">
        <f>[1]Debt!N19</f>
        <v>1022.8764268427183</v>
      </c>
    </row>
    <row r="39" spans="2:14" ht="14.25">
      <c r="B39" s="67" t="s">
        <v>86</v>
      </c>
      <c r="C39" s="63"/>
      <c r="D39" s="63"/>
      <c r="E39" s="63"/>
      <c r="F39" s="68">
        <v>-1142</v>
      </c>
      <c r="G39" s="68">
        <v>-1203</v>
      </c>
      <c r="H39" s="68">
        <v>-1277</v>
      </c>
      <c r="I39" s="68">
        <v>-1382</v>
      </c>
      <c r="J39" s="222">
        <f>-'[1]Shareholders Equity'!J30</f>
        <v>-1317.635366496045</v>
      </c>
      <c r="K39" s="222">
        <f>-'[1]Shareholders Equity'!K30</f>
        <v>-1344.36247744605</v>
      </c>
      <c r="L39" s="222">
        <f>-'[1]Shareholders Equity'!L30</f>
        <v>-1370.5576969920473</v>
      </c>
      <c r="M39" s="222">
        <f>-'[1]Shareholders Equity'!M30</f>
        <v>-1401.3474707337018</v>
      </c>
      <c r="N39" s="222">
        <f>-'[1]Shareholders Equity'!N30</f>
        <v>-1428.7681993612157</v>
      </c>
    </row>
    <row r="40" spans="2:14" ht="14.25">
      <c r="B40" s="67" t="s">
        <v>87</v>
      </c>
      <c r="C40" s="63"/>
      <c r="D40" s="63"/>
      <c r="E40" s="63"/>
      <c r="F40" s="68">
        <v>-2020</v>
      </c>
      <c r="G40" s="68">
        <v>-1806</v>
      </c>
      <c r="H40" s="68">
        <v>-1943</v>
      </c>
      <c r="I40" s="68">
        <v>-1521</v>
      </c>
      <c r="J40" s="222">
        <f>-'[1]Shareholders Equity'!J18</f>
        <v>-1500</v>
      </c>
      <c r="K40" s="222">
        <f>-'[1]Shareholders Equity'!K18</f>
        <v>-1500</v>
      </c>
      <c r="L40" s="222">
        <f>-'[1]Shareholders Equity'!L18</f>
        <v>-1500</v>
      </c>
      <c r="M40" s="222">
        <f>-'[1]Shareholders Equity'!M18</f>
        <v>-1500</v>
      </c>
      <c r="N40" s="222">
        <f>-'[1]Shareholders Equity'!N18</f>
        <v>-1500</v>
      </c>
    </row>
    <row r="41" spans="2:14" ht="14.25">
      <c r="B41" s="67" t="s">
        <v>88</v>
      </c>
      <c r="C41" s="63"/>
      <c r="D41" s="63"/>
      <c r="E41" s="63"/>
      <c r="F41" s="78">
        <v>242</v>
      </c>
      <c r="G41" s="69">
        <v>353</v>
      </c>
      <c r="H41" s="69">
        <v>478</v>
      </c>
      <c r="I41" s="69">
        <v>339</v>
      </c>
      <c r="J41" s="224">
        <f>'[1]Shareholders Equity'!J23</f>
        <v>1014.342</v>
      </c>
      <c r="K41" s="224">
        <f>'[1]Shareholders Equity'!K23</f>
        <v>0</v>
      </c>
      <c r="L41" s="224">
        <f>'[1]Shareholders Equity'!L23</f>
        <v>0</v>
      </c>
      <c r="M41" s="224">
        <f>'[1]Shareholders Equity'!M23</f>
        <v>0</v>
      </c>
      <c r="N41" s="224">
        <f>'[1]Shareholders Equity'!N23</f>
        <v>0</v>
      </c>
    </row>
    <row r="42" spans="2:14" ht="14.25">
      <c r="B42" s="63" t="s">
        <v>89</v>
      </c>
      <c r="C42" s="63"/>
      <c r="D42" s="63"/>
      <c r="E42" s="63"/>
      <c r="F42" s="79">
        <f>SUM(F36:F41)</f>
        <v>-2624</v>
      </c>
      <c r="G42" s="79">
        <f>SUM(G36:G41)</f>
        <v>-1242</v>
      </c>
      <c r="H42" s="79">
        <f>SUM(H36:H41)</f>
        <v>-2301</v>
      </c>
      <c r="I42" s="79">
        <f>SUM(I36:I41)</f>
        <v>-2142</v>
      </c>
      <c r="J42" s="79">
        <f t="shared" ref="J42:N42" si="4">SUM(J36:J41)</f>
        <v>-2698.2933664960451</v>
      </c>
      <c r="K42" s="79">
        <f t="shared" si="4"/>
        <v>-2395.736939578318</v>
      </c>
      <c r="L42" s="79">
        <f t="shared" si="4"/>
        <v>-2445.8554642553481</v>
      </c>
      <c r="M42" s="79">
        <f t="shared" si="4"/>
        <v>-2526.4573256895419</v>
      </c>
      <c r="N42" s="79">
        <f t="shared" si="4"/>
        <v>-2600.8917725184974</v>
      </c>
    </row>
    <row r="43" spans="2:14" ht="14.25">
      <c r="B43" s="63"/>
      <c r="C43" s="63"/>
      <c r="D43" s="63"/>
      <c r="E43" s="63"/>
      <c r="F43" s="73"/>
      <c r="G43" s="63"/>
      <c r="H43" s="63"/>
      <c r="I43" s="63"/>
      <c r="J43" s="63"/>
      <c r="K43" s="63"/>
      <c r="L43" s="63"/>
      <c r="M43" s="63"/>
      <c r="N43" s="63"/>
    </row>
    <row r="44" spans="2:14" ht="14.25">
      <c r="B44" s="63" t="s">
        <v>90</v>
      </c>
      <c r="C44" s="63"/>
      <c r="D44" s="63"/>
      <c r="E44" s="63"/>
      <c r="F44" s="78">
        <v>-39</v>
      </c>
      <c r="G44" s="78">
        <v>-53</v>
      </c>
      <c r="H44" s="78">
        <v>-24</v>
      </c>
      <c r="I44" s="78">
        <v>-94</v>
      </c>
      <c r="J44" s="223"/>
      <c r="K44" s="223"/>
      <c r="L44" s="223"/>
      <c r="M44" s="223"/>
      <c r="N44" s="223"/>
    </row>
    <row r="45" spans="2:14" ht="18" customHeight="1">
      <c r="B45" s="63" t="s">
        <v>91</v>
      </c>
      <c r="C45" s="63"/>
      <c r="D45" s="63"/>
      <c r="E45" s="63"/>
      <c r="F45" s="73">
        <f>F22+F31+F42+F44</f>
        <v>-110</v>
      </c>
      <c r="G45" s="73">
        <f>G22+G31+G42+G44</f>
        <v>388</v>
      </c>
      <c r="H45" s="73">
        <f>H22+H31+H42+H44</f>
        <v>6</v>
      </c>
      <c r="I45" s="73">
        <f>I22+I31+I42+I44</f>
        <v>78</v>
      </c>
      <c r="J45" s="73">
        <f t="shared" ref="J45:N45" si="5">J22+J31+J42+J44</f>
        <v>-452.90099630591476</v>
      </c>
      <c r="K45" s="73">
        <f t="shared" si="5"/>
        <v>-20.188392593340723</v>
      </c>
      <c r="L45" s="73">
        <f t="shared" si="5"/>
        <v>-4.2443894492503205</v>
      </c>
      <c r="M45" s="73">
        <f t="shared" si="5"/>
        <v>-4.1103776082377408</v>
      </c>
      <c r="N45" s="73">
        <f t="shared" si="5"/>
        <v>-3.9736855301744072</v>
      </c>
    </row>
    <row r="46" spans="2:14" ht="14.25">
      <c r="B46" s="63"/>
      <c r="C46" s="63"/>
      <c r="D46" s="63"/>
      <c r="E46" s="63"/>
      <c r="F46" s="73"/>
      <c r="G46" s="63"/>
      <c r="H46" s="63"/>
      <c r="I46" s="63"/>
      <c r="J46" s="63"/>
      <c r="K46" s="63"/>
      <c r="L46" s="63"/>
      <c r="M46" s="63"/>
      <c r="N46" s="63"/>
    </row>
    <row r="47" spans="2:14" ht="14.25">
      <c r="B47" s="63" t="s">
        <v>92</v>
      </c>
      <c r="C47" s="63"/>
      <c r="D47" s="63"/>
      <c r="E47" s="63"/>
      <c r="F47" s="78">
        <v>600</v>
      </c>
      <c r="G47" s="69">
        <v>490</v>
      </c>
      <c r="H47" s="69">
        <v>878</v>
      </c>
      <c r="I47" s="69">
        <v>884</v>
      </c>
      <c r="J47" s="215">
        <f>I48</f>
        <v>962</v>
      </c>
      <c r="K47" s="215">
        <f t="shared" ref="K47:N47" si="6">J48</f>
        <v>509.09900369408524</v>
      </c>
      <c r="L47" s="215">
        <f t="shared" si="6"/>
        <v>488.91061110074452</v>
      </c>
      <c r="M47" s="215">
        <f t="shared" si="6"/>
        <v>484.6662216514942</v>
      </c>
      <c r="N47" s="215">
        <f t="shared" si="6"/>
        <v>480.55584404325646</v>
      </c>
    </row>
    <row r="48" spans="2:14" ht="15.75" thickBot="1">
      <c r="B48" s="63" t="s">
        <v>93</v>
      </c>
      <c r="C48" s="63"/>
      <c r="D48" s="63"/>
      <c r="E48" s="63"/>
      <c r="F48" s="80">
        <f>F47+F45</f>
        <v>490</v>
      </c>
      <c r="G48" s="80">
        <f>G47+G45</f>
        <v>878</v>
      </c>
      <c r="H48" s="81">
        <f>H47+H45</f>
        <v>884</v>
      </c>
      <c r="I48" s="81">
        <f>I47+I45</f>
        <v>962</v>
      </c>
      <c r="J48" s="81">
        <f t="shared" ref="J48:N48" si="7">J47+J45</f>
        <v>509.09900369408524</v>
      </c>
      <c r="K48" s="81">
        <f t="shared" si="7"/>
        <v>488.91061110074452</v>
      </c>
      <c r="L48" s="81">
        <f t="shared" si="7"/>
        <v>484.6662216514942</v>
      </c>
      <c r="M48" s="81">
        <f t="shared" si="7"/>
        <v>480.55584404325646</v>
      </c>
      <c r="N48" s="81">
        <f t="shared" si="7"/>
        <v>476.58215851308205</v>
      </c>
    </row>
    <row r="49" spans="2:9" ht="15" thickTop="1">
      <c r="B49" s="63"/>
      <c r="C49" s="63"/>
      <c r="D49" s="63"/>
      <c r="E49" s="63"/>
      <c r="F49" s="66"/>
      <c r="G49" s="63"/>
      <c r="H49" s="63"/>
      <c r="I49" s="63"/>
    </row>
    <row r="50" spans="2:9" ht="15">
      <c r="B50" s="64" t="s">
        <v>94</v>
      </c>
      <c r="C50" s="63"/>
      <c r="D50" s="63"/>
      <c r="E50" s="63"/>
      <c r="F50" s="66"/>
      <c r="G50" s="63"/>
      <c r="H50" s="63"/>
      <c r="I50" s="63"/>
    </row>
    <row r="51" spans="2:9" ht="14.25">
      <c r="B51" s="63"/>
      <c r="C51" s="63"/>
      <c r="D51" s="63"/>
      <c r="E51" s="63"/>
      <c r="F51" s="66" t="s">
        <v>75</v>
      </c>
      <c r="G51" s="63"/>
      <c r="H51" s="63"/>
      <c r="I51" s="63"/>
    </row>
    <row r="52" spans="2:9" ht="14.25">
      <c r="B52" s="63" t="s">
        <v>95</v>
      </c>
      <c r="C52" s="63"/>
      <c r="D52" s="63"/>
      <c r="E52" s="63"/>
      <c r="F52" s="65">
        <v>1123</v>
      </c>
      <c r="G52" s="65">
        <v>1007</v>
      </c>
      <c r="H52" s="65">
        <v>1280</v>
      </c>
      <c r="I52" s="65">
        <v>1087</v>
      </c>
    </row>
    <row r="53" spans="2:9" ht="14.25">
      <c r="B53" s="63" t="s">
        <v>96</v>
      </c>
      <c r="C53" s="63"/>
      <c r="D53" s="63"/>
      <c r="E53" s="63"/>
      <c r="F53" s="68">
        <v>70</v>
      </c>
      <c r="G53" s="68">
        <v>58</v>
      </c>
      <c r="H53" s="68">
        <v>77</v>
      </c>
      <c r="I53" s="68">
        <v>118</v>
      </c>
    </row>
    <row r="54" spans="2:9">
      <c r="F54" s="59"/>
      <c r="G54" s="59"/>
      <c r="H54" s="61"/>
    </row>
    <row r="55" spans="2:9">
      <c r="F55" s="59"/>
      <c r="G55" s="59"/>
      <c r="H55" s="61"/>
    </row>
  </sheetData>
  <pageMargins left="0.75" right="0.75" top="1" bottom="1" header="0.5" footer="0.5"/>
  <pageSetup scale="91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U89"/>
  <sheetViews>
    <sheetView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J79" sqref="J79:N79"/>
    </sheetView>
  </sheetViews>
  <sheetFormatPr defaultRowHeight="15"/>
  <cols>
    <col min="1" max="1" width="2.5703125" customWidth="1"/>
    <col min="2" max="2" width="37.5703125" customWidth="1"/>
    <col min="3" max="4" width="9.5703125" customWidth="1"/>
    <col min="5" max="5" width="8.85546875" customWidth="1"/>
    <col min="6" max="9" width="10.42578125" bestFit="1" customWidth="1"/>
    <col min="10" max="10" width="10.140625" customWidth="1"/>
    <col min="11" max="11" width="9.7109375" bestFit="1" customWidth="1"/>
    <col min="12" max="12" width="9.5703125" bestFit="1" customWidth="1"/>
    <col min="258" max="258" width="37.5703125" customWidth="1"/>
    <col min="259" max="260" width="9.5703125" bestFit="1" customWidth="1"/>
    <col min="261" max="261" width="13.140625" customWidth="1"/>
    <col min="262" max="267" width="9.7109375" bestFit="1" customWidth="1"/>
    <col min="268" max="268" width="9.5703125" bestFit="1" customWidth="1"/>
    <col min="514" max="514" width="37.5703125" customWidth="1"/>
    <col min="515" max="516" width="9.5703125" bestFit="1" customWidth="1"/>
    <col min="517" max="517" width="13.140625" customWidth="1"/>
    <col min="518" max="523" width="9.7109375" bestFit="1" customWidth="1"/>
    <col min="524" max="524" width="9.5703125" bestFit="1" customWidth="1"/>
    <col min="770" max="770" width="37.5703125" customWidth="1"/>
    <col min="771" max="772" width="9.5703125" bestFit="1" customWidth="1"/>
    <col min="773" max="773" width="13.140625" customWidth="1"/>
    <col min="774" max="779" width="9.7109375" bestFit="1" customWidth="1"/>
    <col min="780" max="780" width="9.5703125" bestFit="1" customWidth="1"/>
    <col min="1026" max="1026" width="37.5703125" customWidth="1"/>
    <col min="1027" max="1028" width="9.5703125" bestFit="1" customWidth="1"/>
    <col min="1029" max="1029" width="13.140625" customWidth="1"/>
    <col min="1030" max="1035" width="9.7109375" bestFit="1" customWidth="1"/>
    <col min="1036" max="1036" width="9.5703125" bestFit="1" customWidth="1"/>
    <col min="1282" max="1282" width="37.5703125" customWidth="1"/>
    <col min="1283" max="1284" width="9.5703125" bestFit="1" customWidth="1"/>
    <col min="1285" max="1285" width="13.140625" customWidth="1"/>
    <col min="1286" max="1291" width="9.7109375" bestFit="1" customWidth="1"/>
    <col min="1292" max="1292" width="9.5703125" bestFit="1" customWidth="1"/>
    <col min="1538" max="1538" width="37.5703125" customWidth="1"/>
    <col min="1539" max="1540" width="9.5703125" bestFit="1" customWidth="1"/>
    <col min="1541" max="1541" width="13.140625" customWidth="1"/>
    <col min="1542" max="1547" width="9.7109375" bestFit="1" customWidth="1"/>
    <col min="1548" max="1548" width="9.5703125" bestFit="1" customWidth="1"/>
    <col min="1794" max="1794" width="37.5703125" customWidth="1"/>
    <col min="1795" max="1796" width="9.5703125" bestFit="1" customWidth="1"/>
    <col min="1797" max="1797" width="13.140625" customWidth="1"/>
    <col min="1798" max="1803" width="9.7109375" bestFit="1" customWidth="1"/>
    <col min="1804" max="1804" width="9.5703125" bestFit="1" customWidth="1"/>
    <col min="2050" max="2050" width="37.5703125" customWidth="1"/>
    <col min="2051" max="2052" width="9.5703125" bestFit="1" customWidth="1"/>
    <col min="2053" max="2053" width="13.140625" customWidth="1"/>
    <col min="2054" max="2059" width="9.7109375" bestFit="1" customWidth="1"/>
    <col min="2060" max="2060" width="9.5703125" bestFit="1" customWidth="1"/>
    <col min="2306" max="2306" width="37.5703125" customWidth="1"/>
    <col min="2307" max="2308" width="9.5703125" bestFit="1" customWidth="1"/>
    <col min="2309" max="2309" width="13.140625" customWidth="1"/>
    <col min="2310" max="2315" width="9.7109375" bestFit="1" customWidth="1"/>
    <col min="2316" max="2316" width="9.5703125" bestFit="1" customWidth="1"/>
    <col min="2562" max="2562" width="37.5703125" customWidth="1"/>
    <col min="2563" max="2564" width="9.5703125" bestFit="1" customWidth="1"/>
    <col min="2565" max="2565" width="13.140625" customWidth="1"/>
    <col min="2566" max="2571" width="9.7109375" bestFit="1" customWidth="1"/>
    <col min="2572" max="2572" width="9.5703125" bestFit="1" customWidth="1"/>
    <col min="2818" max="2818" width="37.5703125" customWidth="1"/>
    <col min="2819" max="2820" width="9.5703125" bestFit="1" customWidth="1"/>
    <col min="2821" max="2821" width="13.140625" customWidth="1"/>
    <col min="2822" max="2827" width="9.7109375" bestFit="1" customWidth="1"/>
    <col min="2828" max="2828" width="9.5703125" bestFit="1" customWidth="1"/>
    <col min="3074" max="3074" width="37.5703125" customWidth="1"/>
    <col min="3075" max="3076" width="9.5703125" bestFit="1" customWidth="1"/>
    <col min="3077" max="3077" width="13.140625" customWidth="1"/>
    <col min="3078" max="3083" width="9.7109375" bestFit="1" customWidth="1"/>
    <col min="3084" max="3084" width="9.5703125" bestFit="1" customWidth="1"/>
    <col min="3330" max="3330" width="37.5703125" customWidth="1"/>
    <col min="3331" max="3332" width="9.5703125" bestFit="1" customWidth="1"/>
    <col min="3333" max="3333" width="13.140625" customWidth="1"/>
    <col min="3334" max="3339" width="9.7109375" bestFit="1" customWidth="1"/>
    <col min="3340" max="3340" width="9.5703125" bestFit="1" customWidth="1"/>
    <col min="3586" max="3586" width="37.5703125" customWidth="1"/>
    <col min="3587" max="3588" width="9.5703125" bestFit="1" customWidth="1"/>
    <col min="3589" max="3589" width="13.140625" customWidth="1"/>
    <col min="3590" max="3595" width="9.7109375" bestFit="1" customWidth="1"/>
    <col min="3596" max="3596" width="9.5703125" bestFit="1" customWidth="1"/>
    <col min="3842" max="3842" width="37.5703125" customWidth="1"/>
    <col min="3843" max="3844" width="9.5703125" bestFit="1" customWidth="1"/>
    <col min="3845" max="3845" width="13.140625" customWidth="1"/>
    <col min="3846" max="3851" width="9.7109375" bestFit="1" customWidth="1"/>
    <col min="3852" max="3852" width="9.5703125" bestFit="1" customWidth="1"/>
    <col min="4098" max="4098" width="37.5703125" customWidth="1"/>
    <col min="4099" max="4100" width="9.5703125" bestFit="1" customWidth="1"/>
    <col min="4101" max="4101" width="13.140625" customWidth="1"/>
    <col min="4102" max="4107" width="9.7109375" bestFit="1" customWidth="1"/>
    <col min="4108" max="4108" width="9.5703125" bestFit="1" customWidth="1"/>
    <col min="4354" max="4354" width="37.5703125" customWidth="1"/>
    <col min="4355" max="4356" width="9.5703125" bestFit="1" customWidth="1"/>
    <col min="4357" max="4357" width="13.140625" customWidth="1"/>
    <col min="4358" max="4363" width="9.7109375" bestFit="1" customWidth="1"/>
    <col min="4364" max="4364" width="9.5703125" bestFit="1" customWidth="1"/>
    <col min="4610" max="4610" width="37.5703125" customWidth="1"/>
    <col min="4611" max="4612" width="9.5703125" bestFit="1" customWidth="1"/>
    <col min="4613" max="4613" width="13.140625" customWidth="1"/>
    <col min="4614" max="4619" width="9.7109375" bestFit="1" customWidth="1"/>
    <col min="4620" max="4620" width="9.5703125" bestFit="1" customWidth="1"/>
    <col min="4866" max="4866" width="37.5703125" customWidth="1"/>
    <col min="4867" max="4868" width="9.5703125" bestFit="1" customWidth="1"/>
    <col min="4869" max="4869" width="13.140625" customWidth="1"/>
    <col min="4870" max="4875" width="9.7109375" bestFit="1" customWidth="1"/>
    <col min="4876" max="4876" width="9.5703125" bestFit="1" customWidth="1"/>
    <col min="5122" max="5122" width="37.5703125" customWidth="1"/>
    <col min="5123" max="5124" width="9.5703125" bestFit="1" customWidth="1"/>
    <col min="5125" max="5125" width="13.140625" customWidth="1"/>
    <col min="5126" max="5131" width="9.7109375" bestFit="1" customWidth="1"/>
    <col min="5132" max="5132" width="9.5703125" bestFit="1" customWidth="1"/>
    <col min="5378" max="5378" width="37.5703125" customWidth="1"/>
    <col min="5379" max="5380" width="9.5703125" bestFit="1" customWidth="1"/>
    <col min="5381" max="5381" width="13.140625" customWidth="1"/>
    <col min="5382" max="5387" width="9.7109375" bestFit="1" customWidth="1"/>
    <col min="5388" max="5388" width="9.5703125" bestFit="1" customWidth="1"/>
    <col min="5634" max="5634" width="37.5703125" customWidth="1"/>
    <col min="5635" max="5636" width="9.5703125" bestFit="1" customWidth="1"/>
    <col min="5637" max="5637" width="13.140625" customWidth="1"/>
    <col min="5638" max="5643" width="9.7109375" bestFit="1" customWidth="1"/>
    <col min="5644" max="5644" width="9.5703125" bestFit="1" customWidth="1"/>
    <col min="5890" max="5890" width="37.5703125" customWidth="1"/>
    <col min="5891" max="5892" width="9.5703125" bestFit="1" customWidth="1"/>
    <col min="5893" max="5893" width="13.140625" customWidth="1"/>
    <col min="5894" max="5899" width="9.7109375" bestFit="1" customWidth="1"/>
    <col min="5900" max="5900" width="9.5703125" bestFit="1" customWidth="1"/>
    <col min="6146" max="6146" width="37.5703125" customWidth="1"/>
    <col min="6147" max="6148" width="9.5703125" bestFit="1" customWidth="1"/>
    <col min="6149" max="6149" width="13.140625" customWidth="1"/>
    <col min="6150" max="6155" width="9.7109375" bestFit="1" customWidth="1"/>
    <col min="6156" max="6156" width="9.5703125" bestFit="1" customWidth="1"/>
    <col min="6402" max="6402" width="37.5703125" customWidth="1"/>
    <col min="6403" max="6404" width="9.5703125" bestFit="1" customWidth="1"/>
    <col min="6405" max="6405" width="13.140625" customWidth="1"/>
    <col min="6406" max="6411" width="9.7109375" bestFit="1" customWidth="1"/>
    <col min="6412" max="6412" width="9.5703125" bestFit="1" customWidth="1"/>
    <col min="6658" max="6658" width="37.5703125" customWidth="1"/>
    <col min="6659" max="6660" width="9.5703125" bestFit="1" customWidth="1"/>
    <col min="6661" max="6661" width="13.140625" customWidth="1"/>
    <col min="6662" max="6667" width="9.7109375" bestFit="1" customWidth="1"/>
    <col min="6668" max="6668" width="9.5703125" bestFit="1" customWidth="1"/>
    <col min="6914" max="6914" width="37.5703125" customWidth="1"/>
    <col min="6915" max="6916" width="9.5703125" bestFit="1" customWidth="1"/>
    <col min="6917" max="6917" width="13.140625" customWidth="1"/>
    <col min="6918" max="6923" width="9.7109375" bestFit="1" customWidth="1"/>
    <col min="6924" max="6924" width="9.5703125" bestFit="1" customWidth="1"/>
    <col min="7170" max="7170" width="37.5703125" customWidth="1"/>
    <col min="7171" max="7172" width="9.5703125" bestFit="1" customWidth="1"/>
    <col min="7173" max="7173" width="13.140625" customWidth="1"/>
    <col min="7174" max="7179" width="9.7109375" bestFit="1" customWidth="1"/>
    <col min="7180" max="7180" width="9.5703125" bestFit="1" customWidth="1"/>
    <col min="7426" max="7426" width="37.5703125" customWidth="1"/>
    <col min="7427" max="7428" width="9.5703125" bestFit="1" customWidth="1"/>
    <col min="7429" max="7429" width="13.140625" customWidth="1"/>
    <col min="7430" max="7435" width="9.7109375" bestFit="1" customWidth="1"/>
    <col min="7436" max="7436" width="9.5703125" bestFit="1" customWidth="1"/>
    <col min="7682" max="7682" width="37.5703125" customWidth="1"/>
    <col min="7683" max="7684" width="9.5703125" bestFit="1" customWidth="1"/>
    <col min="7685" max="7685" width="13.140625" customWidth="1"/>
    <col min="7686" max="7691" width="9.7109375" bestFit="1" customWidth="1"/>
    <col min="7692" max="7692" width="9.5703125" bestFit="1" customWidth="1"/>
    <col min="7938" max="7938" width="37.5703125" customWidth="1"/>
    <col min="7939" max="7940" width="9.5703125" bestFit="1" customWidth="1"/>
    <col min="7941" max="7941" width="13.140625" customWidth="1"/>
    <col min="7942" max="7947" width="9.7109375" bestFit="1" customWidth="1"/>
    <col min="7948" max="7948" width="9.5703125" bestFit="1" customWidth="1"/>
    <col min="8194" max="8194" width="37.5703125" customWidth="1"/>
    <col min="8195" max="8196" width="9.5703125" bestFit="1" customWidth="1"/>
    <col min="8197" max="8197" width="13.140625" customWidth="1"/>
    <col min="8198" max="8203" width="9.7109375" bestFit="1" customWidth="1"/>
    <col min="8204" max="8204" width="9.5703125" bestFit="1" customWidth="1"/>
    <col min="8450" max="8450" width="37.5703125" customWidth="1"/>
    <col min="8451" max="8452" width="9.5703125" bestFit="1" customWidth="1"/>
    <col min="8453" max="8453" width="13.140625" customWidth="1"/>
    <col min="8454" max="8459" width="9.7109375" bestFit="1" customWidth="1"/>
    <col min="8460" max="8460" width="9.5703125" bestFit="1" customWidth="1"/>
    <col min="8706" max="8706" width="37.5703125" customWidth="1"/>
    <col min="8707" max="8708" width="9.5703125" bestFit="1" customWidth="1"/>
    <col min="8709" max="8709" width="13.140625" customWidth="1"/>
    <col min="8710" max="8715" width="9.7109375" bestFit="1" customWidth="1"/>
    <col min="8716" max="8716" width="9.5703125" bestFit="1" customWidth="1"/>
    <col min="8962" max="8962" width="37.5703125" customWidth="1"/>
    <col min="8963" max="8964" width="9.5703125" bestFit="1" customWidth="1"/>
    <col min="8965" max="8965" width="13.140625" customWidth="1"/>
    <col min="8966" max="8971" width="9.7109375" bestFit="1" customWidth="1"/>
    <col min="8972" max="8972" width="9.5703125" bestFit="1" customWidth="1"/>
    <col min="9218" max="9218" width="37.5703125" customWidth="1"/>
    <col min="9219" max="9220" width="9.5703125" bestFit="1" customWidth="1"/>
    <col min="9221" max="9221" width="13.140625" customWidth="1"/>
    <col min="9222" max="9227" width="9.7109375" bestFit="1" customWidth="1"/>
    <col min="9228" max="9228" width="9.5703125" bestFit="1" customWidth="1"/>
    <col min="9474" max="9474" width="37.5703125" customWidth="1"/>
    <col min="9475" max="9476" width="9.5703125" bestFit="1" customWidth="1"/>
    <col min="9477" max="9477" width="13.140625" customWidth="1"/>
    <col min="9478" max="9483" width="9.7109375" bestFit="1" customWidth="1"/>
    <col min="9484" max="9484" width="9.5703125" bestFit="1" customWidth="1"/>
    <col min="9730" max="9730" width="37.5703125" customWidth="1"/>
    <col min="9731" max="9732" width="9.5703125" bestFit="1" customWidth="1"/>
    <col min="9733" max="9733" width="13.140625" customWidth="1"/>
    <col min="9734" max="9739" width="9.7109375" bestFit="1" customWidth="1"/>
    <col min="9740" max="9740" width="9.5703125" bestFit="1" customWidth="1"/>
    <col min="9986" max="9986" width="37.5703125" customWidth="1"/>
    <col min="9987" max="9988" width="9.5703125" bestFit="1" customWidth="1"/>
    <col min="9989" max="9989" width="13.140625" customWidth="1"/>
    <col min="9990" max="9995" width="9.7109375" bestFit="1" customWidth="1"/>
    <col min="9996" max="9996" width="9.5703125" bestFit="1" customWidth="1"/>
    <col min="10242" max="10242" width="37.5703125" customWidth="1"/>
    <col min="10243" max="10244" width="9.5703125" bestFit="1" customWidth="1"/>
    <col min="10245" max="10245" width="13.140625" customWidth="1"/>
    <col min="10246" max="10251" width="9.7109375" bestFit="1" customWidth="1"/>
    <col min="10252" max="10252" width="9.5703125" bestFit="1" customWidth="1"/>
    <col min="10498" max="10498" width="37.5703125" customWidth="1"/>
    <col min="10499" max="10500" width="9.5703125" bestFit="1" customWidth="1"/>
    <col min="10501" max="10501" width="13.140625" customWidth="1"/>
    <col min="10502" max="10507" width="9.7109375" bestFit="1" customWidth="1"/>
    <col min="10508" max="10508" width="9.5703125" bestFit="1" customWidth="1"/>
    <col min="10754" max="10754" width="37.5703125" customWidth="1"/>
    <col min="10755" max="10756" width="9.5703125" bestFit="1" customWidth="1"/>
    <col min="10757" max="10757" width="13.140625" customWidth="1"/>
    <col min="10758" max="10763" width="9.7109375" bestFit="1" customWidth="1"/>
    <col min="10764" max="10764" width="9.5703125" bestFit="1" customWidth="1"/>
    <col min="11010" max="11010" width="37.5703125" customWidth="1"/>
    <col min="11011" max="11012" width="9.5703125" bestFit="1" customWidth="1"/>
    <col min="11013" max="11013" width="13.140625" customWidth="1"/>
    <col min="11014" max="11019" width="9.7109375" bestFit="1" customWidth="1"/>
    <col min="11020" max="11020" width="9.5703125" bestFit="1" customWidth="1"/>
    <col min="11266" max="11266" width="37.5703125" customWidth="1"/>
    <col min="11267" max="11268" width="9.5703125" bestFit="1" customWidth="1"/>
    <col min="11269" max="11269" width="13.140625" customWidth="1"/>
    <col min="11270" max="11275" width="9.7109375" bestFit="1" customWidth="1"/>
    <col min="11276" max="11276" width="9.5703125" bestFit="1" customWidth="1"/>
    <col min="11522" max="11522" width="37.5703125" customWidth="1"/>
    <col min="11523" max="11524" width="9.5703125" bestFit="1" customWidth="1"/>
    <col min="11525" max="11525" width="13.140625" customWidth="1"/>
    <col min="11526" max="11531" width="9.7109375" bestFit="1" customWidth="1"/>
    <col min="11532" max="11532" width="9.5703125" bestFit="1" customWidth="1"/>
    <col min="11778" max="11778" width="37.5703125" customWidth="1"/>
    <col min="11779" max="11780" width="9.5703125" bestFit="1" customWidth="1"/>
    <col min="11781" max="11781" width="13.140625" customWidth="1"/>
    <col min="11782" max="11787" width="9.7109375" bestFit="1" customWidth="1"/>
    <col min="11788" max="11788" width="9.5703125" bestFit="1" customWidth="1"/>
    <col min="12034" max="12034" width="37.5703125" customWidth="1"/>
    <col min="12035" max="12036" width="9.5703125" bestFit="1" customWidth="1"/>
    <col min="12037" max="12037" width="13.140625" customWidth="1"/>
    <col min="12038" max="12043" width="9.7109375" bestFit="1" customWidth="1"/>
    <col min="12044" max="12044" width="9.5703125" bestFit="1" customWidth="1"/>
    <col min="12290" max="12290" width="37.5703125" customWidth="1"/>
    <col min="12291" max="12292" width="9.5703125" bestFit="1" customWidth="1"/>
    <col min="12293" max="12293" width="13.140625" customWidth="1"/>
    <col min="12294" max="12299" width="9.7109375" bestFit="1" customWidth="1"/>
    <col min="12300" max="12300" width="9.5703125" bestFit="1" customWidth="1"/>
    <col min="12546" max="12546" width="37.5703125" customWidth="1"/>
    <col min="12547" max="12548" width="9.5703125" bestFit="1" customWidth="1"/>
    <col min="12549" max="12549" width="13.140625" customWidth="1"/>
    <col min="12550" max="12555" width="9.7109375" bestFit="1" customWidth="1"/>
    <col min="12556" max="12556" width="9.5703125" bestFit="1" customWidth="1"/>
    <col min="12802" max="12802" width="37.5703125" customWidth="1"/>
    <col min="12803" max="12804" width="9.5703125" bestFit="1" customWidth="1"/>
    <col min="12805" max="12805" width="13.140625" customWidth="1"/>
    <col min="12806" max="12811" width="9.7109375" bestFit="1" customWidth="1"/>
    <col min="12812" max="12812" width="9.5703125" bestFit="1" customWidth="1"/>
    <col min="13058" max="13058" width="37.5703125" customWidth="1"/>
    <col min="13059" max="13060" width="9.5703125" bestFit="1" customWidth="1"/>
    <col min="13061" max="13061" width="13.140625" customWidth="1"/>
    <col min="13062" max="13067" width="9.7109375" bestFit="1" customWidth="1"/>
    <col min="13068" max="13068" width="9.5703125" bestFit="1" customWidth="1"/>
    <col min="13314" max="13314" width="37.5703125" customWidth="1"/>
    <col min="13315" max="13316" width="9.5703125" bestFit="1" customWidth="1"/>
    <col min="13317" max="13317" width="13.140625" customWidth="1"/>
    <col min="13318" max="13323" width="9.7109375" bestFit="1" customWidth="1"/>
    <col min="13324" max="13324" width="9.5703125" bestFit="1" customWidth="1"/>
    <col min="13570" max="13570" width="37.5703125" customWidth="1"/>
    <col min="13571" max="13572" width="9.5703125" bestFit="1" customWidth="1"/>
    <col min="13573" max="13573" width="13.140625" customWidth="1"/>
    <col min="13574" max="13579" width="9.7109375" bestFit="1" customWidth="1"/>
    <col min="13580" max="13580" width="9.5703125" bestFit="1" customWidth="1"/>
    <col min="13826" max="13826" width="37.5703125" customWidth="1"/>
    <col min="13827" max="13828" width="9.5703125" bestFit="1" customWidth="1"/>
    <col min="13829" max="13829" width="13.140625" customWidth="1"/>
    <col min="13830" max="13835" width="9.7109375" bestFit="1" customWidth="1"/>
    <col min="13836" max="13836" width="9.5703125" bestFit="1" customWidth="1"/>
    <col min="14082" max="14082" width="37.5703125" customWidth="1"/>
    <col min="14083" max="14084" width="9.5703125" bestFit="1" customWidth="1"/>
    <col min="14085" max="14085" width="13.140625" customWidth="1"/>
    <col min="14086" max="14091" width="9.7109375" bestFit="1" customWidth="1"/>
    <col min="14092" max="14092" width="9.5703125" bestFit="1" customWidth="1"/>
    <col min="14338" max="14338" width="37.5703125" customWidth="1"/>
    <col min="14339" max="14340" width="9.5703125" bestFit="1" customWidth="1"/>
    <col min="14341" max="14341" width="13.140625" customWidth="1"/>
    <col min="14342" max="14347" width="9.7109375" bestFit="1" customWidth="1"/>
    <col min="14348" max="14348" width="9.5703125" bestFit="1" customWidth="1"/>
    <col min="14594" max="14594" width="37.5703125" customWidth="1"/>
    <col min="14595" max="14596" width="9.5703125" bestFit="1" customWidth="1"/>
    <col min="14597" max="14597" width="13.140625" customWidth="1"/>
    <col min="14598" max="14603" width="9.7109375" bestFit="1" customWidth="1"/>
    <col min="14604" max="14604" width="9.5703125" bestFit="1" customWidth="1"/>
    <col min="14850" max="14850" width="37.5703125" customWidth="1"/>
    <col min="14851" max="14852" width="9.5703125" bestFit="1" customWidth="1"/>
    <col min="14853" max="14853" width="13.140625" customWidth="1"/>
    <col min="14854" max="14859" width="9.7109375" bestFit="1" customWidth="1"/>
    <col min="14860" max="14860" width="9.5703125" bestFit="1" customWidth="1"/>
    <col min="15106" max="15106" width="37.5703125" customWidth="1"/>
    <col min="15107" max="15108" width="9.5703125" bestFit="1" customWidth="1"/>
    <col min="15109" max="15109" width="13.140625" customWidth="1"/>
    <col min="15110" max="15115" width="9.7109375" bestFit="1" customWidth="1"/>
    <col min="15116" max="15116" width="9.5703125" bestFit="1" customWidth="1"/>
    <col min="15362" max="15362" width="37.5703125" customWidth="1"/>
    <col min="15363" max="15364" width="9.5703125" bestFit="1" customWidth="1"/>
    <col min="15365" max="15365" width="13.140625" customWidth="1"/>
    <col min="15366" max="15371" width="9.7109375" bestFit="1" customWidth="1"/>
    <col min="15372" max="15372" width="9.5703125" bestFit="1" customWidth="1"/>
    <col min="15618" max="15618" width="37.5703125" customWidth="1"/>
    <col min="15619" max="15620" width="9.5703125" bestFit="1" customWidth="1"/>
    <col min="15621" max="15621" width="13.140625" customWidth="1"/>
    <col min="15622" max="15627" width="9.7109375" bestFit="1" customWidth="1"/>
    <col min="15628" max="15628" width="9.5703125" bestFit="1" customWidth="1"/>
    <col min="15874" max="15874" width="37.5703125" customWidth="1"/>
    <col min="15875" max="15876" width="9.5703125" bestFit="1" customWidth="1"/>
    <col min="15877" max="15877" width="13.140625" customWidth="1"/>
    <col min="15878" max="15883" width="9.7109375" bestFit="1" customWidth="1"/>
    <col min="15884" max="15884" width="9.5703125" bestFit="1" customWidth="1"/>
    <col min="16130" max="16130" width="37.5703125" customWidth="1"/>
    <col min="16131" max="16132" width="9.5703125" bestFit="1" customWidth="1"/>
    <col min="16133" max="16133" width="13.140625" customWidth="1"/>
    <col min="16134" max="16139" width="9.7109375" bestFit="1" customWidth="1"/>
    <col min="16140" max="16140" width="9.5703125" bestFit="1" customWidth="1"/>
  </cols>
  <sheetData>
    <row r="1" spans="1:15" s="56" customFormat="1" ht="23.25">
      <c r="A1" s="22" t="str">
        <f>IS!A1</f>
        <v>Colgate-Palmolive Company</v>
      </c>
      <c r="F1" s="58"/>
      <c r="G1" s="58"/>
      <c r="H1" s="57"/>
      <c r="M1" s="23"/>
    </row>
    <row r="2" spans="1:15" s="23" customFormat="1" ht="14.25"/>
    <row r="3" spans="1:15" s="23" customFormat="1" ht="20.25">
      <c r="A3" s="1" t="s">
        <v>192</v>
      </c>
      <c r="M3" s="56"/>
    </row>
    <row r="4" spans="1:15" s="23" customFormat="1">
      <c r="M4"/>
    </row>
    <row r="5" spans="1:15" s="56" customFormat="1" ht="15.75" thickBot="1">
      <c r="B5" s="63"/>
      <c r="C5" s="62">
        <f>BS!C5</f>
        <v>39447</v>
      </c>
      <c r="D5" s="62">
        <f>BS!D5</f>
        <v>39813</v>
      </c>
      <c r="E5" s="62">
        <f>BS!E5</f>
        <v>40178</v>
      </c>
      <c r="F5" s="62">
        <f>BS!F5</f>
        <v>40543</v>
      </c>
      <c r="G5" s="62">
        <f>BS!G5</f>
        <v>40908</v>
      </c>
      <c r="H5" s="62">
        <f>BS!H5</f>
        <v>41274</v>
      </c>
      <c r="I5" s="62">
        <f>BS!I5</f>
        <v>41639</v>
      </c>
      <c r="J5" s="62">
        <f>BS!J5</f>
        <v>42004</v>
      </c>
      <c r="K5" s="62">
        <f>BS!K5</f>
        <v>42369</v>
      </c>
      <c r="L5" s="62">
        <f>BS!L5</f>
        <v>42735</v>
      </c>
      <c r="M5" s="62">
        <f>BS!M5</f>
        <v>43100</v>
      </c>
      <c r="N5" s="62">
        <f>BS!N5</f>
        <v>43465</v>
      </c>
    </row>
    <row r="6" spans="1:15">
      <c r="B6" s="23" t="s">
        <v>98</v>
      </c>
      <c r="C6" s="127"/>
      <c r="D6" s="127"/>
      <c r="E6" s="127"/>
      <c r="F6" s="127">
        <f>[2]IS!F6</f>
        <v>15564</v>
      </c>
      <c r="G6" s="127">
        <f>[2]IS!G6</f>
        <v>16734</v>
      </c>
      <c r="H6" s="127">
        <f>[2]IS!H6</f>
        <v>17085</v>
      </c>
      <c r="I6" s="127">
        <f>[2]IS!I6</f>
        <v>17420</v>
      </c>
      <c r="J6" s="127">
        <f>[2]IS!J6</f>
        <v>17893.819331386832</v>
      </c>
      <c r="K6" s="127">
        <f>[2]IS!K6</f>
        <v>18263.027093014571</v>
      </c>
      <c r="L6" s="127">
        <f>[2]IS!L6</f>
        <v>18639.902294249863</v>
      </c>
      <c r="M6" s="127">
        <f>[2]IS!M6</f>
        <v>19024.605365994237</v>
      </c>
      <c r="N6" s="127">
        <f>[2]IS!N6</f>
        <v>19417.30012481998</v>
      </c>
    </row>
    <row r="7" spans="1:15">
      <c r="B7" s="23" t="s">
        <v>113</v>
      </c>
      <c r="C7" s="128"/>
      <c r="D7" s="128"/>
      <c r="E7" s="128"/>
      <c r="F7" s="168">
        <f>-[2]CF!F25</f>
        <v>550</v>
      </c>
      <c r="G7" s="168">
        <f>-[2]CF!G25</f>
        <v>537</v>
      </c>
      <c r="H7" s="168">
        <f>-[2]CF!H25</f>
        <v>565</v>
      </c>
      <c r="I7" s="168">
        <f>-[2]CF!I25</f>
        <v>670</v>
      </c>
      <c r="J7" s="168">
        <f>J8*J6</f>
        <v>715.75277325547336</v>
      </c>
      <c r="K7" s="168">
        <f t="shared" ref="K7:N7" si="0">K8*K6</f>
        <v>730.52108372058285</v>
      </c>
      <c r="L7" s="168">
        <f t="shared" si="0"/>
        <v>745.59609176999459</v>
      </c>
      <c r="M7" s="168">
        <f t="shared" si="0"/>
        <v>760.98421463976945</v>
      </c>
      <c r="N7" s="168">
        <f t="shared" si="0"/>
        <v>776.69200499279918</v>
      </c>
    </row>
    <row r="8" spans="1:15">
      <c r="B8" s="93" t="s">
        <v>114</v>
      </c>
      <c r="C8" s="94"/>
      <c r="D8" s="94"/>
      <c r="E8" s="94"/>
      <c r="F8" s="263">
        <f>F7/F6</f>
        <v>3.5337959393472118E-2</v>
      </c>
      <c r="G8" s="263">
        <f t="shared" ref="G8:I8" si="1">G7/G6</f>
        <v>3.2090354965937609E-2</v>
      </c>
      <c r="H8" s="263">
        <f t="shared" si="1"/>
        <v>3.3069944395668717E-2</v>
      </c>
      <c r="I8" s="263">
        <f t="shared" si="1"/>
        <v>3.8461538461538464E-2</v>
      </c>
      <c r="J8" s="95">
        <v>0.04</v>
      </c>
      <c r="K8" s="95">
        <v>0.04</v>
      </c>
      <c r="L8" s="95">
        <v>0.04</v>
      </c>
      <c r="M8" s="95">
        <v>0.04</v>
      </c>
      <c r="N8" s="95">
        <v>0.04</v>
      </c>
    </row>
    <row r="9" spans="1:15">
      <c r="B9" s="23"/>
      <c r="C9" s="23"/>
      <c r="D9" s="23"/>
      <c r="E9" s="23"/>
      <c r="F9" s="23"/>
      <c r="G9" s="23"/>
      <c r="H9" s="23"/>
      <c r="I9" s="23"/>
      <c r="J9" s="23"/>
    </row>
    <row r="10" spans="1:15">
      <c r="B10" s="23" t="s">
        <v>115</v>
      </c>
      <c r="C10" s="169"/>
      <c r="D10" s="170"/>
      <c r="E10" s="170"/>
      <c r="F10" s="170"/>
      <c r="G10" s="170"/>
      <c r="H10" s="170"/>
      <c r="I10" s="170"/>
      <c r="J10" s="152">
        <f>I13</f>
        <v>4083</v>
      </c>
      <c r="K10" s="152">
        <f t="shared" ref="K10:N10" si="2">J13</f>
        <v>4798.7527732554736</v>
      </c>
      <c r="L10" s="152">
        <f t="shared" si="2"/>
        <v>5529.2738569760568</v>
      </c>
      <c r="M10" s="152">
        <f t="shared" si="2"/>
        <v>6274.8699487460517</v>
      </c>
      <c r="N10" s="152">
        <f t="shared" si="2"/>
        <v>7035.8541633858213</v>
      </c>
    </row>
    <row r="11" spans="1:15">
      <c r="B11" s="23" t="s">
        <v>113</v>
      </c>
      <c r="C11" s="169"/>
      <c r="D11" s="171"/>
      <c r="E11" s="171"/>
      <c r="F11" s="171"/>
      <c r="G11" s="171"/>
      <c r="H11" s="171"/>
      <c r="I11" s="170"/>
      <c r="J11" s="96">
        <f>J7</f>
        <v>715.75277325547336</v>
      </c>
      <c r="K11" s="96">
        <f t="shared" ref="K11:N11" si="3">K7</f>
        <v>730.52108372058285</v>
      </c>
      <c r="L11" s="96">
        <f t="shared" si="3"/>
        <v>745.59609176999459</v>
      </c>
      <c r="M11" s="96">
        <f t="shared" si="3"/>
        <v>760.98421463976945</v>
      </c>
      <c r="N11" s="96">
        <f t="shared" si="3"/>
        <v>776.69200499279918</v>
      </c>
    </row>
    <row r="12" spans="1:15">
      <c r="B12" s="23" t="s">
        <v>116</v>
      </c>
      <c r="C12" s="169"/>
      <c r="D12" s="172"/>
      <c r="E12" s="172"/>
      <c r="F12" s="172"/>
      <c r="G12" s="172"/>
      <c r="H12" s="172"/>
      <c r="I12" s="170"/>
      <c r="J12" s="97">
        <f>-J79</f>
        <v>0</v>
      </c>
      <c r="K12" s="97">
        <f t="shared" ref="K12:N12" si="4">-K79</f>
        <v>0</v>
      </c>
      <c r="L12" s="97">
        <f t="shared" si="4"/>
        <v>0</v>
      </c>
      <c r="M12" s="97">
        <f t="shared" si="4"/>
        <v>0</v>
      </c>
      <c r="N12" s="97">
        <f t="shared" si="4"/>
        <v>0</v>
      </c>
    </row>
    <row r="13" spans="1:15" ht="15.75" thickBot="1">
      <c r="B13" s="235" t="s">
        <v>117</v>
      </c>
      <c r="C13" s="266"/>
      <c r="D13" s="266"/>
      <c r="E13" s="266"/>
      <c r="F13" s="266">
        <f>[2]BS!F14</f>
        <v>3693</v>
      </c>
      <c r="G13" s="266">
        <f>[2]BS!G14</f>
        <v>3668</v>
      </c>
      <c r="H13" s="266">
        <f>[2]BS!H14</f>
        <v>3842</v>
      </c>
      <c r="I13" s="266">
        <f>[2]BS!I14</f>
        <v>4083</v>
      </c>
      <c r="J13" s="236">
        <f>J10+J11+J12</f>
        <v>4798.7527732554736</v>
      </c>
      <c r="K13" s="236">
        <f>K10+K11+K12</f>
        <v>5529.2738569760568</v>
      </c>
      <c r="L13" s="236">
        <f>L10+L11+L12</f>
        <v>6274.8699487460517</v>
      </c>
      <c r="M13" s="236">
        <f>M10+M11+M12</f>
        <v>7035.8541633858213</v>
      </c>
      <c r="N13" s="236">
        <f>N10+N11+N12</f>
        <v>7812.5461683786207</v>
      </c>
    </row>
    <row r="14" spans="1:15">
      <c r="B14" s="23"/>
      <c r="C14" s="23"/>
      <c r="D14" s="23"/>
      <c r="E14" s="23"/>
      <c r="F14" s="23"/>
      <c r="G14" s="23"/>
      <c r="H14" s="23"/>
      <c r="I14" s="23"/>
      <c r="J14" s="23"/>
    </row>
    <row r="15" spans="1:15">
      <c r="B15" s="23"/>
      <c r="C15" s="23"/>
      <c r="D15" s="23"/>
      <c r="E15" s="23"/>
      <c r="F15" s="23"/>
      <c r="G15" s="23"/>
      <c r="H15" s="23"/>
      <c r="I15" s="23"/>
      <c r="J15" s="23"/>
    </row>
    <row r="16" spans="1:15" ht="15.75" hidden="1" thickBot="1">
      <c r="B16" s="98" t="s">
        <v>189</v>
      </c>
      <c r="C16" s="265"/>
      <c r="D16" s="265"/>
      <c r="E16" s="265"/>
      <c r="F16" s="265"/>
      <c r="G16" s="265"/>
      <c r="H16" s="62"/>
      <c r="I16" s="62"/>
      <c r="J16" s="99"/>
      <c r="K16" s="99"/>
      <c r="L16" s="100"/>
      <c r="M16" s="23"/>
      <c r="N16" s="23"/>
      <c r="O16" s="23"/>
    </row>
    <row r="17" spans="2:21" hidden="1">
      <c r="B17" s="101" t="s">
        <v>118</v>
      </c>
      <c r="H17" s="267"/>
      <c r="I17" s="102"/>
      <c r="J17" s="103"/>
      <c r="K17" s="23"/>
      <c r="L17" s="104"/>
      <c r="M17" s="23"/>
      <c r="N17" s="23"/>
      <c r="O17" s="23"/>
    </row>
    <row r="18" spans="2:21" hidden="1">
      <c r="B18" s="101" t="s">
        <v>119</v>
      </c>
      <c r="H18" s="267"/>
      <c r="I18" s="102"/>
      <c r="J18" s="173"/>
      <c r="K18" s="23"/>
      <c r="L18" s="104"/>
      <c r="M18" s="23"/>
      <c r="N18" s="23"/>
      <c r="O18" s="23"/>
    </row>
    <row r="19" spans="2:21" hidden="1">
      <c r="B19" s="101" t="s">
        <v>120</v>
      </c>
      <c r="H19" s="267"/>
      <c r="I19" s="102"/>
      <c r="J19" s="173"/>
      <c r="K19" s="23"/>
      <c r="L19" s="104"/>
      <c r="M19" s="23"/>
      <c r="N19" s="23"/>
      <c r="O19" s="23"/>
    </row>
    <row r="20" spans="2:21" hidden="1">
      <c r="B20" s="101" t="s">
        <v>188</v>
      </c>
      <c r="H20" s="267"/>
      <c r="I20" s="102"/>
      <c r="J20" s="173"/>
      <c r="K20" s="23"/>
      <c r="L20" s="104"/>
      <c r="M20" s="23"/>
      <c r="N20" s="23"/>
      <c r="O20" s="23"/>
    </row>
    <row r="21" spans="2:21" ht="15.75" hidden="1" thickBot="1">
      <c r="B21" s="105" t="s">
        <v>121</v>
      </c>
      <c r="C21" s="264"/>
      <c r="D21" s="264"/>
      <c r="E21" s="264"/>
      <c r="F21" s="264"/>
      <c r="G21" s="264"/>
      <c r="H21" s="106"/>
      <c r="I21" s="106"/>
      <c r="J21" s="107"/>
      <c r="K21" s="108"/>
      <c r="L21" s="109"/>
      <c r="M21" s="23"/>
      <c r="N21" s="23"/>
      <c r="O21" s="23"/>
    </row>
    <row r="22" spans="2:21" ht="15.75" hidden="1" thickTop="1">
      <c r="B22" s="23"/>
      <c r="C22" s="23"/>
      <c r="D22" s="23"/>
      <c r="E22" s="23"/>
      <c r="F22" s="23"/>
      <c r="G22" s="23"/>
      <c r="H22" s="23"/>
      <c r="I22" s="23"/>
      <c r="J22" s="23"/>
    </row>
    <row r="23" spans="2:21" hidden="1">
      <c r="B23" s="110"/>
      <c r="C23" s="99"/>
      <c r="D23" s="99"/>
      <c r="E23" s="99"/>
      <c r="F23" s="111"/>
      <c r="G23" s="111"/>
      <c r="H23" s="111"/>
      <c r="I23" s="111"/>
      <c r="J23" s="111"/>
      <c r="K23" s="88"/>
      <c r="L23" s="88"/>
      <c r="U23" s="201"/>
    </row>
    <row r="24" spans="2:21" hidden="1">
      <c r="B24" s="112" t="s">
        <v>122</v>
      </c>
      <c r="C24" s="112"/>
      <c r="D24" s="112"/>
      <c r="E24" s="112"/>
      <c r="F24" s="113"/>
      <c r="G24" s="113"/>
      <c r="H24" s="113"/>
      <c r="I24" s="113"/>
      <c r="J24" s="113"/>
      <c r="K24" s="89"/>
      <c r="L24" s="89"/>
      <c r="U24" s="87"/>
    </row>
    <row r="25" spans="2:21" ht="15.75" hidden="1" thickBot="1">
      <c r="B25" s="23" t="s">
        <v>123</v>
      </c>
      <c r="C25" s="23"/>
      <c r="D25" s="23"/>
      <c r="E25" s="23"/>
      <c r="F25" s="23"/>
      <c r="G25" s="23"/>
      <c r="H25" s="23"/>
      <c r="I25" s="23"/>
      <c r="J25" s="23"/>
    </row>
    <row r="26" spans="2:21" hidden="1">
      <c r="B26" s="205" t="str">
        <f>B17</f>
        <v xml:space="preserve">Land </v>
      </c>
      <c r="C26" s="206"/>
      <c r="D26" s="206"/>
      <c r="E26" s="206"/>
      <c r="F26" s="207"/>
      <c r="G26" s="207"/>
      <c r="H26" s="207"/>
      <c r="I26" s="207"/>
      <c r="J26" s="207"/>
      <c r="K26" s="207"/>
      <c r="L26" s="207"/>
      <c r="M26" s="207"/>
      <c r="N26" s="208"/>
    </row>
    <row r="27" spans="2:21" hidden="1">
      <c r="B27" s="209" t="str">
        <f>B18</f>
        <v>Building Improvements</v>
      </c>
      <c r="C27" s="114"/>
      <c r="D27" s="114"/>
      <c r="E27" s="114"/>
      <c r="F27" s="115"/>
      <c r="G27" s="115"/>
      <c r="H27" s="115"/>
      <c r="I27" s="115"/>
      <c r="J27" s="115"/>
      <c r="K27" s="115"/>
      <c r="L27" s="115"/>
      <c r="M27" s="115"/>
      <c r="N27" s="210"/>
    </row>
    <row r="28" spans="2:21" hidden="1">
      <c r="B28" s="209" t="str">
        <f>B19</f>
        <v>Machinery and equipment</v>
      </c>
      <c r="C28" s="114"/>
      <c r="D28" s="114"/>
      <c r="E28" s="114"/>
      <c r="F28" s="115"/>
      <c r="G28" s="115"/>
      <c r="H28" s="115"/>
      <c r="I28" s="115"/>
      <c r="J28" s="115"/>
      <c r="K28" s="115"/>
      <c r="L28" s="115"/>
      <c r="M28" s="115"/>
      <c r="N28" s="210"/>
    </row>
    <row r="29" spans="2:21" ht="15.75" hidden="1" thickBot="1">
      <c r="B29" s="211" t="str">
        <f>B20</f>
        <v>Other Equipment</v>
      </c>
      <c r="C29" s="182"/>
      <c r="D29" s="182"/>
      <c r="E29" s="182"/>
      <c r="F29" s="212"/>
      <c r="G29" s="212"/>
      <c r="H29" s="212"/>
      <c r="I29" s="212"/>
      <c r="J29" s="212"/>
      <c r="K29" s="212"/>
      <c r="L29" s="212"/>
      <c r="M29" s="212"/>
      <c r="N29" s="213"/>
    </row>
    <row r="30" spans="2:21" hidden="1">
      <c r="B30" s="23"/>
      <c r="C30" s="23"/>
      <c r="D30" s="23"/>
      <c r="E30" s="23"/>
      <c r="F30" s="23"/>
      <c r="G30" s="23"/>
      <c r="H30" s="23"/>
      <c r="I30" s="23"/>
      <c r="J30" s="23"/>
    </row>
    <row r="31" spans="2:21" hidden="1">
      <c r="B31" s="23"/>
      <c r="C31" s="23"/>
      <c r="D31" s="23"/>
      <c r="E31" s="23"/>
      <c r="F31" s="23"/>
      <c r="G31" s="23"/>
      <c r="H31" s="23"/>
      <c r="I31" s="23"/>
      <c r="J31" s="23"/>
    </row>
    <row r="32" spans="2:21" hidden="1">
      <c r="B32" s="202" t="s">
        <v>124</v>
      </c>
      <c r="C32" s="202"/>
      <c r="D32" s="202"/>
      <c r="E32" s="202"/>
      <c r="F32" s="202"/>
      <c r="G32" s="202"/>
      <c r="H32" s="202"/>
      <c r="I32" s="202"/>
      <c r="J32" s="202"/>
      <c r="K32" s="203"/>
      <c r="L32" s="203"/>
      <c r="M32" s="204"/>
      <c r="N32" s="204"/>
    </row>
    <row r="33" spans="2:14" hidden="1">
      <c r="B33" s="101" t="s">
        <v>125</v>
      </c>
      <c r="C33" s="116"/>
      <c r="D33" s="23"/>
      <c r="E33" s="23"/>
      <c r="F33" s="23"/>
      <c r="G33" s="23"/>
      <c r="H33" s="23"/>
      <c r="I33" s="23"/>
      <c r="J33" s="23"/>
    </row>
    <row r="34" spans="2:14" hidden="1">
      <c r="B34" s="101" t="s">
        <v>126</v>
      </c>
      <c r="C34" s="116"/>
      <c r="D34" s="23"/>
      <c r="E34" s="23"/>
      <c r="F34" s="152"/>
      <c r="G34" s="23"/>
      <c r="H34" s="23"/>
      <c r="I34" s="23"/>
      <c r="J34" s="55"/>
      <c r="K34" s="55"/>
      <c r="L34" s="55"/>
      <c r="M34" s="55"/>
      <c r="N34" s="55"/>
    </row>
    <row r="35" spans="2:14" hidden="1">
      <c r="B35" s="101" t="s">
        <v>127</v>
      </c>
      <c r="C35" s="116"/>
      <c r="D35" s="23"/>
      <c r="E35" s="23"/>
      <c r="F35" s="117"/>
      <c r="G35" s="117"/>
      <c r="H35" s="117"/>
      <c r="I35" s="117"/>
      <c r="J35" s="117"/>
      <c r="K35" s="117"/>
      <c r="L35" s="117"/>
      <c r="M35" s="117"/>
      <c r="N35" s="117"/>
    </row>
    <row r="36" spans="2:14" hidden="1">
      <c r="B36" s="101"/>
      <c r="C36" s="116"/>
      <c r="D36" s="23"/>
      <c r="E36" s="23"/>
      <c r="F36" s="23"/>
      <c r="G36" s="23"/>
      <c r="H36" s="23"/>
      <c r="I36" s="23"/>
      <c r="J36" s="23"/>
    </row>
    <row r="37" spans="2:14" hidden="1">
      <c r="B37" s="23"/>
      <c r="C37" s="129"/>
      <c r="D37" s="118"/>
      <c r="E37" s="118"/>
      <c r="F37" s="23"/>
      <c r="G37" s="23"/>
      <c r="H37" s="23"/>
      <c r="I37" s="97"/>
      <c r="J37" s="268"/>
      <c r="K37" s="97"/>
      <c r="L37" s="97"/>
      <c r="M37" s="97"/>
      <c r="N37" s="97"/>
    </row>
    <row r="38" spans="2:14" hidden="1">
      <c r="B38" s="23">
        <v>2014</v>
      </c>
      <c r="C38" s="119"/>
      <c r="D38" s="116"/>
      <c r="E38" s="23"/>
      <c r="F38" s="97"/>
      <c r="G38" s="97"/>
      <c r="H38" s="97"/>
      <c r="I38" s="97"/>
      <c r="J38" s="97"/>
      <c r="K38" s="268"/>
      <c r="L38" s="97"/>
      <c r="M38" s="97"/>
      <c r="N38" s="97"/>
    </row>
    <row r="39" spans="2:14" hidden="1">
      <c r="B39" s="23">
        <f t="shared" ref="B39:B42" si="5">B38+1</f>
        <v>2015</v>
      </c>
      <c r="C39" s="120"/>
      <c r="D39" s="116"/>
      <c r="E39" s="23"/>
      <c r="F39" s="97"/>
      <c r="G39" s="97"/>
      <c r="H39" s="97"/>
      <c r="I39" s="97"/>
      <c r="J39" s="97"/>
      <c r="K39" s="97"/>
      <c r="L39" s="268"/>
      <c r="M39" s="97"/>
      <c r="N39" s="97"/>
    </row>
    <row r="40" spans="2:14" hidden="1">
      <c r="B40" s="23">
        <f t="shared" si="5"/>
        <v>2016</v>
      </c>
      <c r="C40" s="121"/>
      <c r="D40" s="116"/>
      <c r="E40" s="23"/>
      <c r="F40" s="97"/>
      <c r="G40" s="97"/>
      <c r="H40" s="97"/>
      <c r="I40" s="97"/>
      <c r="J40" s="97"/>
      <c r="K40" s="85"/>
      <c r="L40" s="97"/>
      <c r="M40" s="268"/>
      <c r="N40" s="97"/>
    </row>
    <row r="41" spans="2:14" hidden="1">
      <c r="B41" s="23">
        <f t="shared" si="5"/>
        <v>2017</v>
      </c>
      <c r="C41" s="121"/>
      <c r="D41" s="116"/>
      <c r="E41" s="23"/>
      <c r="F41" s="97"/>
      <c r="G41" s="97"/>
      <c r="H41" s="97"/>
      <c r="I41" s="97"/>
      <c r="J41" s="97"/>
      <c r="K41" s="85"/>
      <c r="L41" s="85"/>
      <c r="M41" s="97"/>
      <c r="N41" s="268"/>
    </row>
    <row r="42" spans="2:14" hidden="1">
      <c r="B42" s="23">
        <f t="shared" si="5"/>
        <v>2018</v>
      </c>
      <c r="C42" s="121"/>
      <c r="D42" s="116"/>
      <c r="E42" s="23"/>
      <c r="F42" s="97"/>
      <c r="G42" s="97"/>
      <c r="H42" s="97"/>
      <c r="I42" s="97"/>
      <c r="J42" s="97"/>
      <c r="K42" s="85"/>
      <c r="L42" s="85"/>
      <c r="N42" s="97"/>
    </row>
    <row r="43" spans="2:14" hidden="1">
      <c r="B43" s="23"/>
      <c r="C43" s="23"/>
      <c r="D43" s="23"/>
      <c r="E43" s="23"/>
      <c r="F43" s="23"/>
      <c r="G43" s="23"/>
      <c r="H43" s="23"/>
      <c r="I43" s="23"/>
      <c r="J43" s="23"/>
    </row>
    <row r="44" spans="2:14" ht="15.75" hidden="1" thickBot="1">
      <c r="B44" s="122" t="s">
        <v>128</v>
      </c>
      <c r="C44" s="122"/>
      <c r="D44" s="122"/>
      <c r="E44" s="122"/>
      <c r="F44" s="123"/>
      <c r="G44" s="123"/>
      <c r="H44" s="123"/>
      <c r="I44" s="123"/>
      <c r="J44" s="123"/>
      <c r="K44" s="123"/>
      <c r="L44" s="123"/>
      <c r="M44" s="123"/>
      <c r="N44" s="123"/>
    </row>
    <row r="45" spans="2:14" ht="15.75" hidden="1" thickTop="1">
      <c r="B45" s="23"/>
      <c r="C45" s="23"/>
      <c r="D45" s="23"/>
      <c r="E45" s="23"/>
      <c r="F45" s="23"/>
      <c r="G45" s="23"/>
      <c r="H45" s="23"/>
      <c r="I45" s="23"/>
      <c r="J45" s="23"/>
    </row>
    <row r="46" spans="2:14" hidden="1">
      <c r="B46" s="202" t="s">
        <v>129</v>
      </c>
      <c r="C46" s="202"/>
      <c r="D46" s="202"/>
      <c r="E46" s="202"/>
      <c r="F46" s="202"/>
      <c r="G46" s="202"/>
      <c r="H46" s="202"/>
      <c r="I46" s="202"/>
      <c r="J46" s="202"/>
      <c r="K46" s="203"/>
      <c r="L46" s="203"/>
      <c r="M46" s="204"/>
      <c r="N46" s="204"/>
    </row>
    <row r="47" spans="2:14" hidden="1">
      <c r="B47" s="101" t="s">
        <v>125</v>
      </c>
      <c r="C47" s="116"/>
      <c r="D47" s="23"/>
      <c r="E47" s="23"/>
      <c r="F47" s="23"/>
      <c r="G47" s="23"/>
      <c r="H47" s="23"/>
      <c r="I47" s="23"/>
      <c r="J47" s="23"/>
    </row>
    <row r="48" spans="2:14" hidden="1">
      <c r="B48" s="101" t="s">
        <v>129</v>
      </c>
      <c r="C48" s="116"/>
      <c r="D48" s="23"/>
      <c r="E48" s="23"/>
      <c r="F48" s="23"/>
      <c r="G48" s="23"/>
      <c r="H48" s="23"/>
      <c r="I48" s="23"/>
      <c r="J48" s="23"/>
    </row>
    <row r="49" spans="2:14" hidden="1">
      <c r="B49" s="101" t="s">
        <v>127</v>
      </c>
      <c r="C49" s="116"/>
      <c r="D49" s="23"/>
      <c r="E49" s="23"/>
      <c r="F49" s="117"/>
      <c r="G49" s="117"/>
      <c r="H49" s="117"/>
      <c r="I49" s="117"/>
      <c r="J49" s="117"/>
      <c r="K49" s="117"/>
      <c r="L49" s="117"/>
      <c r="M49" s="117"/>
      <c r="N49" s="117"/>
    </row>
    <row r="50" spans="2:14" hidden="1">
      <c r="B50" s="23"/>
      <c r="C50" s="23"/>
      <c r="D50" s="23"/>
      <c r="E50" s="23"/>
      <c r="F50" s="23"/>
      <c r="G50" s="23"/>
      <c r="H50" s="23"/>
      <c r="I50" s="23"/>
      <c r="J50" s="23"/>
    </row>
    <row r="51" spans="2:14" hidden="1">
      <c r="B51" s="23"/>
      <c r="C51" s="25"/>
      <c r="D51" s="118"/>
      <c r="E51" s="118"/>
      <c r="F51" s="23"/>
      <c r="G51" s="23"/>
      <c r="H51" s="23"/>
      <c r="I51" s="23"/>
      <c r="J51" s="23"/>
    </row>
    <row r="52" spans="2:14" hidden="1">
      <c r="B52" s="23">
        <v>2014</v>
      </c>
      <c r="C52" s="119"/>
      <c r="D52" s="116"/>
      <c r="E52" s="23"/>
      <c r="F52" s="97"/>
      <c r="G52" s="97"/>
      <c r="H52" s="97"/>
      <c r="I52" s="97"/>
      <c r="J52" s="97"/>
      <c r="K52" s="97"/>
      <c r="L52" s="97"/>
      <c r="M52" s="97"/>
      <c r="N52" s="97"/>
    </row>
    <row r="53" spans="2:14" hidden="1">
      <c r="B53" s="23">
        <f t="shared" ref="B53:B56" si="6">B52+1</f>
        <v>2015</v>
      </c>
      <c r="C53" s="120"/>
      <c r="D53" s="116"/>
      <c r="E53" s="23"/>
      <c r="F53" s="97"/>
      <c r="G53" s="97"/>
      <c r="H53" s="97"/>
      <c r="I53" s="97"/>
      <c r="J53" s="97"/>
      <c r="K53" s="97"/>
      <c r="L53" s="97"/>
      <c r="M53" s="97"/>
      <c r="N53" s="97"/>
    </row>
    <row r="54" spans="2:14" hidden="1">
      <c r="B54" s="23">
        <f t="shared" si="6"/>
        <v>2016</v>
      </c>
      <c r="C54" s="121"/>
      <c r="D54" s="116"/>
      <c r="E54" s="23"/>
      <c r="F54" s="97"/>
      <c r="G54" s="97"/>
      <c r="H54" s="97"/>
      <c r="I54" s="97"/>
      <c r="J54" s="97"/>
      <c r="K54" s="85"/>
      <c r="L54" s="97"/>
      <c r="M54" s="97"/>
      <c r="N54" s="97"/>
    </row>
    <row r="55" spans="2:14" hidden="1">
      <c r="B55" s="23">
        <f t="shared" si="6"/>
        <v>2017</v>
      </c>
      <c r="C55" s="121"/>
      <c r="D55" s="116"/>
      <c r="E55" s="23"/>
      <c r="F55" s="97"/>
      <c r="G55" s="97"/>
      <c r="H55" s="97"/>
      <c r="I55" s="97"/>
      <c r="J55" s="97"/>
      <c r="K55" s="85"/>
      <c r="L55" s="85"/>
      <c r="M55" s="97"/>
      <c r="N55" s="97"/>
    </row>
    <row r="56" spans="2:14" hidden="1">
      <c r="B56" s="23">
        <f t="shared" si="6"/>
        <v>2018</v>
      </c>
      <c r="C56" s="121"/>
      <c r="D56" s="116"/>
      <c r="E56" s="23"/>
      <c r="F56" s="97"/>
      <c r="G56" s="97"/>
      <c r="H56" s="97"/>
      <c r="I56" s="97"/>
      <c r="J56" s="97"/>
      <c r="K56" s="85"/>
      <c r="L56" s="85"/>
      <c r="N56" s="97"/>
    </row>
    <row r="57" spans="2:14" hidden="1">
      <c r="B57" s="23"/>
      <c r="C57" s="121"/>
      <c r="D57" s="116"/>
      <c r="E57" s="23"/>
      <c r="F57" s="97"/>
      <c r="G57" s="97"/>
      <c r="H57" s="97"/>
      <c r="I57" s="97"/>
      <c r="J57" s="97"/>
      <c r="K57" s="85"/>
      <c r="L57" s="85"/>
    </row>
    <row r="58" spans="2:14" hidden="1">
      <c r="B58" s="23"/>
      <c r="C58" s="121"/>
      <c r="D58" s="116"/>
      <c r="E58" s="23"/>
      <c r="F58" s="97"/>
      <c r="G58" s="97"/>
      <c r="H58" s="97"/>
      <c r="I58" s="97"/>
      <c r="J58" s="97"/>
      <c r="K58" s="85"/>
      <c r="L58" s="85"/>
    </row>
    <row r="59" spans="2:14" hidden="1">
      <c r="B59" s="23"/>
      <c r="C59" s="97"/>
      <c r="D59" s="97"/>
      <c r="E59" s="97"/>
      <c r="F59" s="97"/>
      <c r="G59" s="97"/>
      <c r="H59" s="97"/>
      <c r="I59" s="97"/>
      <c r="J59" s="23"/>
    </row>
    <row r="60" spans="2:14" ht="15.75" hidden="1" thickBot="1">
      <c r="B60" s="122" t="s">
        <v>130</v>
      </c>
      <c r="C60" s="122"/>
      <c r="D60" s="122"/>
      <c r="E60" s="122"/>
      <c r="F60" s="123"/>
      <c r="G60" s="123"/>
      <c r="H60" s="123"/>
      <c r="I60" s="123"/>
      <c r="J60" s="123"/>
      <c r="K60" s="123"/>
      <c r="L60" s="123"/>
      <c r="M60" s="123"/>
      <c r="N60" s="123"/>
    </row>
    <row r="61" spans="2:14" ht="15.75" hidden="1" thickTop="1">
      <c r="B61" s="23"/>
      <c r="C61" s="97"/>
      <c r="D61" s="97"/>
      <c r="E61" s="97"/>
      <c r="F61" s="97"/>
      <c r="G61" s="97"/>
      <c r="H61" s="97"/>
      <c r="I61" s="97"/>
      <c r="J61" s="97"/>
      <c r="K61" s="85"/>
      <c r="L61" s="85"/>
    </row>
    <row r="62" spans="2:14" hidden="1">
      <c r="B62" s="202" t="s">
        <v>188</v>
      </c>
      <c r="C62" s="202"/>
      <c r="D62" s="202"/>
      <c r="E62" s="202"/>
      <c r="F62" s="202"/>
      <c r="G62" s="202"/>
      <c r="H62" s="202"/>
      <c r="I62" s="202"/>
      <c r="J62" s="202"/>
      <c r="K62" s="203"/>
      <c r="L62" s="203"/>
      <c r="M62" s="204"/>
      <c r="N62" s="204"/>
    </row>
    <row r="63" spans="2:14" hidden="1">
      <c r="B63" s="101" t="s">
        <v>125</v>
      </c>
      <c r="C63" s="116"/>
      <c r="D63" s="23"/>
      <c r="E63" s="23"/>
      <c r="F63" s="23"/>
      <c r="G63" s="23"/>
      <c r="H63" s="23"/>
      <c r="I63" s="23"/>
      <c r="J63" s="23"/>
    </row>
    <row r="64" spans="2:14" hidden="1">
      <c r="B64" s="101" t="s">
        <v>188</v>
      </c>
      <c r="C64" s="116"/>
      <c r="D64" s="23"/>
      <c r="E64" s="23"/>
      <c r="F64" s="23"/>
      <c r="G64" s="23"/>
      <c r="H64" s="23"/>
      <c r="I64" s="23"/>
      <c r="J64" s="23"/>
    </row>
    <row r="65" spans="2:14" hidden="1">
      <c r="B65" s="101" t="s">
        <v>127</v>
      </c>
      <c r="C65" s="116"/>
      <c r="D65" s="23"/>
      <c r="E65" s="23"/>
      <c r="F65" s="117"/>
      <c r="G65" s="117"/>
      <c r="H65" s="117"/>
      <c r="I65" s="117"/>
      <c r="J65" s="117"/>
      <c r="K65" s="117"/>
      <c r="L65" s="117"/>
      <c r="M65" s="117"/>
      <c r="N65" s="117"/>
    </row>
    <row r="66" spans="2:14" hidden="1">
      <c r="B66" s="23"/>
      <c r="C66" s="23"/>
      <c r="D66" s="23"/>
      <c r="E66" s="23"/>
      <c r="F66" s="23"/>
      <c r="G66" s="23"/>
      <c r="H66" s="23"/>
      <c r="I66" s="23"/>
      <c r="J66" s="23"/>
    </row>
    <row r="67" spans="2:14" hidden="1">
      <c r="B67" s="23"/>
      <c r="C67" s="25"/>
      <c r="D67" s="118"/>
      <c r="E67" s="118"/>
      <c r="F67" s="23"/>
      <c r="G67" s="23"/>
      <c r="H67" s="23"/>
      <c r="I67" s="23"/>
      <c r="J67" s="23"/>
    </row>
    <row r="68" spans="2:14" hidden="1">
      <c r="B68" s="23">
        <v>2014</v>
      </c>
      <c r="C68" s="119"/>
      <c r="D68" s="116"/>
      <c r="E68" s="23"/>
      <c r="F68" s="97"/>
      <c r="G68" s="97"/>
      <c r="H68" s="97"/>
      <c r="I68" s="97"/>
      <c r="J68" s="97"/>
      <c r="K68" s="97"/>
      <c r="L68" s="97"/>
      <c r="M68" s="97"/>
      <c r="N68" s="97"/>
    </row>
    <row r="69" spans="2:14" hidden="1">
      <c r="B69" s="23">
        <f t="shared" ref="B69:B72" si="7">B68+1</f>
        <v>2015</v>
      </c>
      <c r="C69" s="120"/>
      <c r="D69" s="116"/>
      <c r="E69" s="23"/>
      <c r="F69" s="97"/>
      <c r="G69" s="97"/>
      <c r="H69" s="97"/>
      <c r="I69" s="97"/>
      <c r="J69" s="97"/>
      <c r="K69" s="97"/>
      <c r="L69" s="97"/>
      <c r="M69" s="97"/>
      <c r="N69" s="97"/>
    </row>
    <row r="70" spans="2:14" hidden="1">
      <c r="B70" s="23">
        <f t="shared" si="7"/>
        <v>2016</v>
      </c>
      <c r="C70" s="121"/>
      <c r="D70" s="116"/>
      <c r="E70" s="23"/>
      <c r="F70" s="97"/>
      <c r="G70" s="97"/>
      <c r="H70" s="97"/>
      <c r="I70" s="97"/>
      <c r="J70" s="97"/>
      <c r="K70" s="85"/>
      <c r="L70" s="97"/>
      <c r="M70" s="97"/>
      <c r="N70" s="97"/>
    </row>
    <row r="71" spans="2:14" hidden="1">
      <c r="B71" s="23">
        <f t="shared" si="7"/>
        <v>2017</v>
      </c>
      <c r="C71" s="121"/>
      <c r="D71" s="116"/>
      <c r="E71" s="23"/>
      <c r="F71" s="97"/>
      <c r="G71" s="97"/>
      <c r="H71" s="97"/>
      <c r="I71" s="97"/>
      <c r="J71" s="97"/>
      <c r="K71" s="85"/>
      <c r="L71" s="85"/>
      <c r="M71" s="97"/>
      <c r="N71" s="97"/>
    </row>
    <row r="72" spans="2:14" hidden="1">
      <c r="B72" s="23">
        <f t="shared" si="7"/>
        <v>2018</v>
      </c>
      <c r="C72" s="121"/>
      <c r="D72" s="116"/>
      <c r="E72" s="23"/>
      <c r="F72" s="97"/>
      <c r="G72" s="97"/>
      <c r="H72" s="97"/>
      <c r="I72" s="97"/>
      <c r="J72" s="97"/>
      <c r="K72" s="85"/>
      <c r="L72" s="85"/>
      <c r="N72" s="97"/>
    </row>
    <row r="73" spans="2:14" hidden="1">
      <c r="B73" s="23"/>
      <c r="C73" s="121"/>
      <c r="D73" s="116"/>
      <c r="E73" s="23"/>
      <c r="F73" s="97"/>
      <c r="G73" s="97"/>
      <c r="H73" s="97"/>
      <c r="I73" s="97"/>
      <c r="J73" s="97"/>
      <c r="K73" s="85"/>
      <c r="L73" s="85"/>
    </row>
    <row r="74" spans="2:14" hidden="1">
      <c r="B74" s="23"/>
      <c r="C74" s="121"/>
      <c r="D74" s="116"/>
      <c r="E74" s="23"/>
      <c r="F74" s="97"/>
      <c r="G74" s="97"/>
      <c r="H74" s="97"/>
      <c r="I74" s="97"/>
      <c r="J74" s="97"/>
      <c r="K74" s="85"/>
      <c r="L74" s="85"/>
    </row>
    <row r="75" spans="2:14" hidden="1">
      <c r="B75" s="23"/>
      <c r="C75" s="23"/>
      <c r="D75" s="23"/>
      <c r="E75" s="23"/>
      <c r="F75" s="23"/>
      <c r="G75" s="23"/>
      <c r="H75" s="23"/>
      <c r="I75" s="23"/>
      <c r="J75" s="23"/>
    </row>
    <row r="76" spans="2:14" ht="15.75" hidden="1" thickBot="1">
      <c r="B76" s="122" t="s">
        <v>210</v>
      </c>
      <c r="C76" s="122"/>
      <c r="D76" s="122"/>
      <c r="E76" s="122"/>
      <c r="F76" s="123"/>
      <c r="G76" s="123"/>
      <c r="H76" s="123"/>
      <c r="I76" s="123"/>
      <c r="J76" s="123"/>
      <c r="K76" s="123"/>
      <c r="L76" s="123"/>
      <c r="M76" s="123"/>
      <c r="N76" s="123"/>
    </row>
    <row r="77" spans="2:14" ht="15.75" hidden="1" thickTop="1">
      <c r="B77" s="23"/>
      <c r="C77" s="23"/>
      <c r="D77" s="23"/>
      <c r="E77" s="23"/>
      <c r="F77" s="23"/>
      <c r="G77" s="23"/>
      <c r="H77" s="23"/>
      <c r="I77" s="23"/>
      <c r="J77" s="23"/>
    </row>
    <row r="78" spans="2:14" ht="15.75" thickBot="1">
      <c r="B78" s="23"/>
      <c r="C78" s="23"/>
      <c r="D78" s="23"/>
      <c r="E78" s="23"/>
      <c r="F78" s="23"/>
      <c r="G78" s="23"/>
      <c r="H78" s="23"/>
      <c r="I78" s="23"/>
      <c r="J78" s="23"/>
    </row>
    <row r="79" spans="2:14" ht="15.75" thickBot="1">
      <c r="B79" s="124" t="s">
        <v>131</v>
      </c>
      <c r="C79" s="125"/>
      <c r="D79" s="125"/>
      <c r="E79" s="125"/>
      <c r="F79" s="126"/>
      <c r="G79" s="126"/>
      <c r="H79" s="126"/>
      <c r="I79" s="126"/>
      <c r="J79" s="126">
        <f>J76+J60+J44</f>
        <v>0</v>
      </c>
      <c r="K79" s="126">
        <f t="shared" ref="K79:N79" si="8">K76+K60+K44</f>
        <v>0</v>
      </c>
      <c r="L79" s="126">
        <f t="shared" si="8"/>
        <v>0</v>
      </c>
      <c r="M79" s="126">
        <f t="shared" si="8"/>
        <v>0</v>
      </c>
      <c r="N79" s="126">
        <f t="shared" si="8"/>
        <v>0</v>
      </c>
    </row>
    <row r="86" spans="5:5">
      <c r="E86" s="85"/>
    </row>
    <row r="87" spans="5:5">
      <c r="E87" s="85"/>
    </row>
    <row r="88" spans="5:5">
      <c r="E88" s="85"/>
    </row>
    <row r="89" spans="5:5">
      <c r="E89" s="85"/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6"/>
  <sheetViews>
    <sheetView workbookViewId="0">
      <selection activeCell="I14" sqref="I14:N14"/>
    </sheetView>
  </sheetViews>
  <sheetFormatPr defaultRowHeight="15"/>
  <cols>
    <col min="1" max="1" width="2.28515625" customWidth="1"/>
    <col min="2" max="2" width="37.5703125" customWidth="1"/>
    <col min="3" max="3" width="9.7109375" bestFit="1" customWidth="1"/>
    <col min="9" max="10" width="9.42578125" bestFit="1" customWidth="1"/>
    <col min="258" max="258" width="37.5703125" customWidth="1"/>
    <col min="514" max="514" width="37.5703125" customWidth="1"/>
    <col min="770" max="770" width="37.5703125" customWidth="1"/>
    <col min="1026" max="1026" width="37.5703125" customWidth="1"/>
    <col min="1282" max="1282" width="37.5703125" customWidth="1"/>
    <col min="1538" max="1538" width="37.5703125" customWidth="1"/>
    <col min="1794" max="1794" width="37.5703125" customWidth="1"/>
    <col min="2050" max="2050" width="37.5703125" customWidth="1"/>
    <col min="2306" max="2306" width="37.5703125" customWidth="1"/>
    <col min="2562" max="2562" width="37.5703125" customWidth="1"/>
    <col min="2818" max="2818" width="37.5703125" customWidth="1"/>
    <col min="3074" max="3074" width="37.5703125" customWidth="1"/>
    <col min="3330" max="3330" width="37.5703125" customWidth="1"/>
    <col min="3586" max="3586" width="37.5703125" customWidth="1"/>
    <col min="3842" max="3842" width="37.5703125" customWidth="1"/>
    <col min="4098" max="4098" width="37.5703125" customWidth="1"/>
    <col min="4354" max="4354" width="37.5703125" customWidth="1"/>
    <col min="4610" max="4610" width="37.5703125" customWidth="1"/>
    <col min="4866" max="4866" width="37.5703125" customWidth="1"/>
    <col min="5122" max="5122" width="37.5703125" customWidth="1"/>
    <col min="5378" max="5378" width="37.5703125" customWidth="1"/>
    <col min="5634" max="5634" width="37.5703125" customWidth="1"/>
    <col min="5890" max="5890" width="37.5703125" customWidth="1"/>
    <col min="6146" max="6146" width="37.5703125" customWidth="1"/>
    <col min="6402" max="6402" width="37.5703125" customWidth="1"/>
    <col min="6658" max="6658" width="37.5703125" customWidth="1"/>
    <col min="6914" max="6914" width="37.5703125" customWidth="1"/>
    <col min="7170" max="7170" width="37.5703125" customWidth="1"/>
    <col min="7426" max="7426" width="37.5703125" customWidth="1"/>
    <col min="7682" max="7682" width="37.5703125" customWidth="1"/>
    <col min="7938" max="7938" width="37.5703125" customWidth="1"/>
    <col min="8194" max="8194" width="37.5703125" customWidth="1"/>
    <col min="8450" max="8450" width="37.5703125" customWidth="1"/>
    <col min="8706" max="8706" width="37.5703125" customWidth="1"/>
    <col min="8962" max="8962" width="37.5703125" customWidth="1"/>
    <col min="9218" max="9218" width="37.5703125" customWidth="1"/>
    <col min="9474" max="9474" width="37.5703125" customWidth="1"/>
    <col min="9730" max="9730" width="37.5703125" customWidth="1"/>
    <col min="9986" max="9986" width="37.5703125" customWidth="1"/>
    <col min="10242" max="10242" width="37.5703125" customWidth="1"/>
    <col min="10498" max="10498" width="37.5703125" customWidth="1"/>
    <col min="10754" max="10754" width="37.5703125" customWidth="1"/>
    <col min="11010" max="11010" width="37.5703125" customWidth="1"/>
    <col min="11266" max="11266" width="37.5703125" customWidth="1"/>
    <col min="11522" max="11522" width="37.5703125" customWidth="1"/>
    <col min="11778" max="11778" width="37.5703125" customWidth="1"/>
    <col min="12034" max="12034" width="37.5703125" customWidth="1"/>
    <col min="12290" max="12290" width="37.5703125" customWidth="1"/>
    <col min="12546" max="12546" width="37.5703125" customWidth="1"/>
    <col min="12802" max="12802" width="37.5703125" customWidth="1"/>
    <col min="13058" max="13058" width="37.5703125" customWidth="1"/>
    <col min="13314" max="13314" width="37.5703125" customWidth="1"/>
    <col min="13570" max="13570" width="37.5703125" customWidth="1"/>
    <col min="13826" max="13826" width="37.5703125" customWidth="1"/>
    <col min="14082" max="14082" width="37.5703125" customWidth="1"/>
    <col min="14338" max="14338" width="37.5703125" customWidth="1"/>
    <col min="14594" max="14594" width="37.5703125" customWidth="1"/>
    <col min="14850" max="14850" width="37.5703125" customWidth="1"/>
    <col min="15106" max="15106" width="37.5703125" customWidth="1"/>
    <col min="15362" max="15362" width="37.5703125" customWidth="1"/>
    <col min="15618" max="15618" width="37.5703125" customWidth="1"/>
    <col min="15874" max="15874" width="37.5703125" customWidth="1"/>
    <col min="16130" max="16130" width="37.5703125" customWidth="1"/>
  </cols>
  <sheetData>
    <row r="1" spans="1:14" s="56" customFormat="1" ht="23.25">
      <c r="A1" s="22" t="str">
        <f>IS!A1</f>
        <v>Colgate-Palmolive Company</v>
      </c>
      <c r="F1" s="58"/>
      <c r="G1" s="58"/>
      <c r="H1" s="57"/>
    </row>
    <row r="2" spans="1:14" s="23" customFormat="1" ht="14.25"/>
    <row r="3" spans="1:14" s="23" customFormat="1" ht="20.25">
      <c r="A3" s="1" t="s">
        <v>193</v>
      </c>
    </row>
    <row r="4" spans="1:14" s="23" customFormat="1" ht="14.25"/>
    <row r="5" spans="1:14" s="56" customFormat="1" ht="15.75" thickBot="1">
      <c r="B5" s="63"/>
      <c r="C5" s="62">
        <f>BS!C5</f>
        <v>39447</v>
      </c>
      <c r="D5" s="62">
        <f>BS!D5</f>
        <v>39813</v>
      </c>
      <c r="E5" s="62">
        <f>BS!E5</f>
        <v>40178</v>
      </c>
      <c r="F5" s="62">
        <f>BS!F5</f>
        <v>40543</v>
      </c>
      <c r="G5" s="62">
        <f>BS!G5</f>
        <v>40908</v>
      </c>
      <c r="H5" s="62">
        <f>BS!H5</f>
        <v>41274</v>
      </c>
      <c r="I5" s="62">
        <f>BS!I5</f>
        <v>41639</v>
      </c>
      <c r="J5" s="62">
        <f>BS!J5</f>
        <v>42004</v>
      </c>
      <c r="K5" s="62">
        <f>BS!K5</f>
        <v>42369</v>
      </c>
      <c r="L5" s="62">
        <f>BS!L5</f>
        <v>42735</v>
      </c>
      <c r="M5" s="62">
        <f>BS!M5</f>
        <v>43100</v>
      </c>
      <c r="N5" s="62">
        <f>BS!N5</f>
        <v>43465</v>
      </c>
    </row>
    <row r="6" spans="1:14">
      <c r="B6" s="23" t="s">
        <v>98</v>
      </c>
      <c r="C6" s="127"/>
      <c r="D6" s="127"/>
      <c r="E6" s="127"/>
      <c r="F6" s="127">
        <f>[2]IS!F6</f>
        <v>15564</v>
      </c>
      <c r="G6" s="127">
        <f>[2]IS!G6</f>
        <v>16734</v>
      </c>
      <c r="H6" s="127">
        <f>[2]IS!H6</f>
        <v>17085</v>
      </c>
      <c r="I6" s="127">
        <f>[2]IS!I6</f>
        <v>17420</v>
      </c>
      <c r="J6" s="127">
        <f>[2]IS!J6</f>
        <v>17893.819331386832</v>
      </c>
      <c r="K6" s="127">
        <f>[2]IS!K6</f>
        <v>18263.027093014571</v>
      </c>
      <c r="L6" s="127">
        <f>[2]IS!L6</f>
        <v>18639.902294249863</v>
      </c>
      <c r="M6" s="127">
        <f>[2]IS!M6</f>
        <v>19024.605365994237</v>
      </c>
      <c r="N6" s="127">
        <f>[2]IS!N6</f>
        <v>19417.30012481998</v>
      </c>
    </row>
    <row r="7" spans="1:14">
      <c r="B7" s="23" t="s">
        <v>132</v>
      </c>
      <c r="C7" s="137"/>
      <c r="D7" s="138"/>
      <c r="E7" s="138"/>
      <c r="F7" s="130"/>
      <c r="G7" s="130"/>
      <c r="H7" s="130"/>
      <c r="I7" s="130"/>
      <c r="J7" s="130"/>
      <c r="K7" s="90"/>
      <c r="L7" s="90"/>
    </row>
    <row r="8" spans="1:14">
      <c r="B8" s="93" t="s">
        <v>133</v>
      </c>
      <c r="C8" s="94"/>
      <c r="D8" s="94"/>
      <c r="E8" s="94"/>
      <c r="F8" s="131"/>
      <c r="G8" s="94"/>
      <c r="H8" s="94"/>
      <c r="I8" s="94"/>
      <c r="J8" s="94"/>
      <c r="K8" s="86"/>
      <c r="L8" s="86"/>
    </row>
    <row r="9" spans="1:14">
      <c r="B9" s="23"/>
      <c r="C9" s="23"/>
      <c r="D9" s="23"/>
      <c r="E9" s="23"/>
      <c r="F9" s="23"/>
      <c r="G9" s="23"/>
      <c r="H9" s="23"/>
      <c r="I9" s="23"/>
      <c r="J9" s="23"/>
    </row>
    <row r="10" spans="1:14">
      <c r="B10" s="23" t="s">
        <v>134</v>
      </c>
      <c r="C10" s="132"/>
      <c r="D10" s="132"/>
      <c r="E10" s="132"/>
      <c r="F10" s="132"/>
      <c r="G10" s="132"/>
      <c r="H10" s="132"/>
      <c r="I10" s="132"/>
      <c r="J10" s="133">
        <f>I14</f>
        <v>1496</v>
      </c>
      <c r="K10" s="133">
        <f t="shared" ref="K10:N10" si="0">J14</f>
        <v>1467</v>
      </c>
      <c r="L10" s="133">
        <f t="shared" si="0"/>
        <v>1438</v>
      </c>
      <c r="M10" s="133">
        <f t="shared" si="0"/>
        <v>1409</v>
      </c>
      <c r="N10" s="133">
        <f t="shared" si="0"/>
        <v>1380</v>
      </c>
    </row>
    <row r="11" spans="1:14">
      <c r="B11" s="23" t="s">
        <v>132</v>
      </c>
      <c r="C11" s="132"/>
      <c r="D11" s="132"/>
      <c r="E11" s="132"/>
      <c r="F11" s="132"/>
      <c r="G11" s="132"/>
      <c r="H11" s="132"/>
      <c r="I11" s="132"/>
      <c r="J11" s="133">
        <f>J7</f>
        <v>0</v>
      </c>
      <c r="K11" s="133">
        <f t="shared" ref="K11:N11" si="1">K7</f>
        <v>0</v>
      </c>
      <c r="L11" s="133">
        <f t="shared" si="1"/>
        <v>0</v>
      </c>
      <c r="M11" s="133">
        <f t="shared" si="1"/>
        <v>0</v>
      </c>
      <c r="N11" s="133">
        <f t="shared" si="1"/>
        <v>0</v>
      </c>
    </row>
    <row r="12" spans="1:14">
      <c r="B12" s="23" t="s">
        <v>135</v>
      </c>
      <c r="C12" s="132"/>
      <c r="D12" s="132"/>
      <c r="E12" s="132"/>
      <c r="F12" s="132"/>
      <c r="G12" s="132"/>
      <c r="H12" s="132"/>
      <c r="I12" s="132"/>
      <c r="J12" s="214">
        <v>-29</v>
      </c>
      <c r="K12" s="214">
        <v>-29</v>
      </c>
      <c r="L12" s="214">
        <v>-29</v>
      </c>
      <c r="M12" s="214">
        <v>-29</v>
      </c>
      <c r="N12" s="214">
        <v>-29</v>
      </c>
    </row>
    <row r="13" spans="1:14">
      <c r="B13" s="23" t="s">
        <v>136</v>
      </c>
      <c r="C13" s="132"/>
      <c r="D13" s="132"/>
      <c r="E13" s="132"/>
      <c r="F13" s="132"/>
      <c r="G13" s="132"/>
      <c r="H13" s="132"/>
      <c r="I13" s="132"/>
      <c r="J13" s="134"/>
      <c r="K13" s="134"/>
      <c r="L13" s="134"/>
      <c r="M13" s="134"/>
      <c r="N13" s="134"/>
    </row>
    <row r="14" spans="1:14">
      <c r="B14" s="23" t="s">
        <v>137</v>
      </c>
      <c r="C14" s="135"/>
      <c r="D14" s="136"/>
      <c r="E14" s="136"/>
      <c r="F14" s="136"/>
      <c r="G14" s="136"/>
      <c r="H14" s="136"/>
      <c r="I14" s="136">
        <f>[2]BS!I16</f>
        <v>1496</v>
      </c>
      <c r="J14" s="136">
        <f>SUM(J10:J13)</f>
        <v>1467</v>
      </c>
      <c r="K14" s="136">
        <f t="shared" ref="K14:N14" si="2">SUM(K10:K13)</f>
        <v>1438</v>
      </c>
      <c r="L14" s="136">
        <f t="shared" si="2"/>
        <v>1409</v>
      </c>
      <c r="M14" s="136">
        <f t="shared" si="2"/>
        <v>1380</v>
      </c>
      <c r="N14" s="136">
        <f t="shared" si="2"/>
        <v>1351</v>
      </c>
    </row>
    <row r="15" spans="1:14">
      <c r="B15" s="23"/>
      <c r="C15" s="23"/>
      <c r="D15" s="23"/>
      <c r="E15" s="23"/>
      <c r="F15" s="23"/>
      <c r="G15" s="23"/>
      <c r="H15" s="23"/>
      <c r="I15" s="23"/>
      <c r="J15" s="23"/>
    </row>
    <row r="16" spans="1:14">
      <c r="B16" s="23"/>
      <c r="C16" s="94"/>
      <c r="D16" s="94"/>
      <c r="E16" s="94"/>
      <c r="F16" s="94"/>
      <c r="G16" s="94"/>
      <c r="H16" s="94"/>
      <c r="I16" s="94"/>
      <c r="J16" s="94"/>
      <c r="K16" s="86"/>
      <c r="L16" s="86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T51"/>
  <sheetViews>
    <sheetView workbookViewId="0">
      <selection activeCell="H1" sqref="H1"/>
    </sheetView>
  </sheetViews>
  <sheetFormatPr defaultRowHeight="15"/>
  <cols>
    <col min="1" max="1" width="2.5703125" customWidth="1"/>
    <col min="2" max="2" width="47.28515625" customWidth="1"/>
    <col min="3" max="4" width="10.5703125" hidden="1" customWidth="1"/>
    <col min="5" max="9" width="10.7109375" bestFit="1" customWidth="1"/>
    <col min="10" max="13" width="9.28515625" bestFit="1" customWidth="1"/>
    <col min="14" max="14" width="8.85546875" bestFit="1" customWidth="1"/>
    <col min="258" max="258" width="48.140625" bestFit="1" customWidth="1"/>
    <col min="270" max="270" width="26.28515625" bestFit="1" customWidth="1"/>
    <col min="514" max="514" width="48.140625" bestFit="1" customWidth="1"/>
    <col min="526" max="526" width="26.28515625" bestFit="1" customWidth="1"/>
    <col min="770" max="770" width="48.140625" bestFit="1" customWidth="1"/>
    <col min="782" max="782" width="26.28515625" bestFit="1" customWidth="1"/>
    <col min="1026" max="1026" width="48.140625" bestFit="1" customWidth="1"/>
    <col min="1038" max="1038" width="26.28515625" bestFit="1" customWidth="1"/>
    <col min="1282" max="1282" width="48.140625" bestFit="1" customWidth="1"/>
    <col min="1294" max="1294" width="26.28515625" bestFit="1" customWidth="1"/>
    <col min="1538" max="1538" width="48.140625" bestFit="1" customWidth="1"/>
    <col min="1550" max="1550" width="26.28515625" bestFit="1" customWidth="1"/>
    <col min="1794" max="1794" width="48.140625" bestFit="1" customWidth="1"/>
    <col min="1806" max="1806" width="26.28515625" bestFit="1" customWidth="1"/>
    <col min="2050" max="2050" width="48.140625" bestFit="1" customWidth="1"/>
    <col min="2062" max="2062" width="26.28515625" bestFit="1" customWidth="1"/>
    <col min="2306" max="2306" width="48.140625" bestFit="1" customWidth="1"/>
    <col min="2318" max="2318" width="26.28515625" bestFit="1" customWidth="1"/>
    <col min="2562" max="2562" width="48.140625" bestFit="1" customWidth="1"/>
    <col min="2574" max="2574" width="26.28515625" bestFit="1" customWidth="1"/>
    <col min="2818" max="2818" width="48.140625" bestFit="1" customWidth="1"/>
    <col min="2830" max="2830" width="26.28515625" bestFit="1" customWidth="1"/>
    <col min="3074" max="3074" width="48.140625" bestFit="1" customWidth="1"/>
    <col min="3086" max="3086" width="26.28515625" bestFit="1" customWidth="1"/>
    <col min="3330" max="3330" width="48.140625" bestFit="1" customWidth="1"/>
    <col min="3342" max="3342" width="26.28515625" bestFit="1" customWidth="1"/>
    <col min="3586" max="3586" width="48.140625" bestFit="1" customWidth="1"/>
    <col min="3598" max="3598" width="26.28515625" bestFit="1" customWidth="1"/>
    <col min="3842" max="3842" width="48.140625" bestFit="1" customWidth="1"/>
    <col min="3854" max="3854" width="26.28515625" bestFit="1" customWidth="1"/>
    <col min="4098" max="4098" width="48.140625" bestFit="1" customWidth="1"/>
    <col min="4110" max="4110" width="26.28515625" bestFit="1" customWidth="1"/>
    <col min="4354" max="4354" width="48.140625" bestFit="1" customWidth="1"/>
    <col min="4366" max="4366" width="26.28515625" bestFit="1" customWidth="1"/>
    <col min="4610" max="4610" width="48.140625" bestFit="1" customWidth="1"/>
    <col min="4622" max="4622" width="26.28515625" bestFit="1" customWidth="1"/>
    <col min="4866" max="4866" width="48.140625" bestFit="1" customWidth="1"/>
    <col min="4878" max="4878" width="26.28515625" bestFit="1" customWidth="1"/>
    <col min="5122" max="5122" width="48.140625" bestFit="1" customWidth="1"/>
    <col min="5134" max="5134" width="26.28515625" bestFit="1" customWidth="1"/>
    <col min="5378" max="5378" width="48.140625" bestFit="1" customWidth="1"/>
    <col min="5390" max="5390" width="26.28515625" bestFit="1" customWidth="1"/>
    <col min="5634" max="5634" width="48.140625" bestFit="1" customWidth="1"/>
    <col min="5646" max="5646" width="26.28515625" bestFit="1" customWidth="1"/>
    <col min="5890" max="5890" width="48.140625" bestFit="1" customWidth="1"/>
    <col min="5902" max="5902" width="26.28515625" bestFit="1" customWidth="1"/>
    <col min="6146" max="6146" width="48.140625" bestFit="1" customWidth="1"/>
    <col min="6158" max="6158" width="26.28515625" bestFit="1" customWidth="1"/>
    <col min="6402" max="6402" width="48.140625" bestFit="1" customWidth="1"/>
    <col min="6414" max="6414" width="26.28515625" bestFit="1" customWidth="1"/>
    <col min="6658" max="6658" width="48.140625" bestFit="1" customWidth="1"/>
    <col min="6670" max="6670" width="26.28515625" bestFit="1" customWidth="1"/>
    <col min="6914" max="6914" width="48.140625" bestFit="1" customWidth="1"/>
    <col min="6926" max="6926" width="26.28515625" bestFit="1" customWidth="1"/>
    <col min="7170" max="7170" width="48.140625" bestFit="1" customWidth="1"/>
    <col min="7182" max="7182" width="26.28515625" bestFit="1" customWidth="1"/>
    <col min="7426" max="7426" width="48.140625" bestFit="1" customWidth="1"/>
    <col min="7438" max="7438" width="26.28515625" bestFit="1" customWidth="1"/>
    <col min="7682" max="7682" width="48.140625" bestFit="1" customWidth="1"/>
    <col min="7694" max="7694" width="26.28515625" bestFit="1" customWidth="1"/>
    <col min="7938" max="7938" width="48.140625" bestFit="1" customWidth="1"/>
    <col min="7950" max="7950" width="26.28515625" bestFit="1" customWidth="1"/>
    <col min="8194" max="8194" width="48.140625" bestFit="1" customWidth="1"/>
    <col min="8206" max="8206" width="26.28515625" bestFit="1" customWidth="1"/>
    <col min="8450" max="8450" width="48.140625" bestFit="1" customWidth="1"/>
    <col min="8462" max="8462" width="26.28515625" bestFit="1" customWidth="1"/>
    <col min="8706" max="8706" width="48.140625" bestFit="1" customWidth="1"/>
    <col min="8718" max="8718" width="26.28515625" bestFit="1" customWidth="1"/>
    <col min="8962" max="8962" width="48.140625" bestFit="1" customWidth="1"/>
    <col min="8974" max="8974" width="26.28515625" bestFit="1" customWidth="1"/>
    <col min="9218" max="9218" width="48.140625" bestFit="1" customWidth="1"/>
    <col min="9230" max="9230" width="26.28515625" bestFit="1" customWidth="1"/>
    <col min="9474" max="9474" width="48.140625" bestFit="1" customWidth="1"/>
    <col min="9486" max="9486" width="26.28515625" bestFit="1" customWidth="1"/>
    <col min="9730" max="9730" width="48.140625" bestFit="1" customWidth="1"/>
    <col min="9742" max="9742" width="26.28515625" bestFit="1" customWidth="1"/>
    <col min="9986" max="9986" width="48.140625" bestFit="1" customWidth="1"/>
    <col min="9998" max="9998" width="26.28515625" bestFit="1" customWidth="1"/>
    <col min="10242" max="10242" width="48.140625" bestFit="1" customWidth="1"/>
    <col min="10254" max="10254" width="26.28515625" bestFit="1" customWidth="1"/>
    <col min="10498" max="10498" width="48.140625" bestFit="1" customWidth="1"/>
    <col min="10510" max="10510" width="26.28515625" bestFit="1" customWidth="1"/>
    <col min="10754" max="10754" width="48.140625" bestFit="1" customWidth="1"/>
    <col min="10766" max="10766" width="26.28515625" bestFit="1" customWidth="1"/>
    <col min="11010" max="11010" width="48.140625" bestFit="1" customWidth="1"/>
    <col min="11022" max="11022" width="26.28515625" bestFit="1" customWidth="1"/>
    <col min="11266" max="11266" width="48.140625" bestFit="1" customWidth="1"/>
    <col min="11278" max="11278" width="26.28515625" bestFit="1" customWidth="1"/>
    <col min="11522" max="11522" width="48.140625" bestFit="1" customWidth="1"/>
    <col min="11534" max="11534" width="26.28515625" bestFit="1" customWidth="1"/>
    <col min="11778" max="11778" width="48.140625" bestFit="1" customWidth="1"/>
    <col min="11790" max="11790" width="26.28515625" bestFit="1" customWidth="1"/>
    <col min="12034" max="12034" width="48.140625" bestFit="1" customWidth="1"/>
    <col min="12046" max="12046" width="26.28515625" bestFit="1" customWidth="1"/>
    <col min="12290" max="12290" width="48.140625" bestFit="1" customWidth="1"/>
    <col min="12302" max="12302" width="26.28515625" bestFit="1" customWidth="1"/>
    <col min="12546" max="12546" width="48.140625" bestFit="1" customWidth="1"/>
    <col min="12558" max="12558" width="26.28515625" bestFit="1" customWidth="1"/>
    <col min="12802" max="12802" width="48.140625" bestFit="1" customWidth="1"/>
    <col min="12814" max="12814" width="26.28515625" bestFit="1" customWidth="1"/>
    <col min="13058" max="13058" width="48.140625" bestFit="1" customWidth="1"/>
    <col min="13070" max="13070" width="26.28515625" bestFit="1" customWidth="1"/>
    <col min="13314" max="13314" width="48.140625" bestFit="1" customWidth="1"/>
    <col min="13326" max="13326" width="26.28515625" bestFit="1" customWidth="1"/>
    <col min="13570" max="13570" width="48.140625" bestFit="1" customWidth="1"/>
    <col min="13582" max="13582" width="26.28515625" bestFit="1" customWidth="1"/>
    <col min="13826" max="13826" width="48.140625" bestFit="1" customWidth="1"/>
    <col min="13838" max="13838" width="26.28515625" bestFit="1" customWidth="1"/>
    <col min="14082" max="14082" width="48.140625" bestFit="1" customWidth="1"/>
    <col min="14094" max="14094" width="26.28515625" bestFit="1" customWidth="1"/>
    <col min="14338" max="14338" width="48.140625" bestFit="1" customWidth="1"/>
    <col min="14350" max="14350" width="26.28515625" bestFit="1" customWidth="1"/>
    <col min="14594" max="14594" width="48.140625" bestFit="1" customWidth="1"/>
    <col min="14606" max="14606" width="26.28515625" bestFit="1" customWidth="1"/>
    <col min="14850" max="14850" width="48.140625" bestFit="1" customWidth="1"/>
    <col min="14862" max="14862" width="26.28515625" bestFit="1" customWidth="1"/>
    <col min="15106" max="15106" width="48.140625" bestFit="1" customWidth="1"/>
    <col min="15118" max="15118" width="26.28515625" bestFit="1" customWidth="1"/>
    <col min="15362" max="15362" width="48.140625" bestFit="1" customWidth="1"/>
    <col min="15374" max="15374" width="26.28515625" bestFit="1" customWidth="1"/>
    <col min="15618" max="15618" width="48.140625" bestFit="1" customWidth="1"/>
    <col min="15630" max="15630" width="26.28515625" bestFit="1" customWidth="1"/>
    <col min="15874" max="15874" width="48.140625" bestFit="1" customWidth="1"/>
    <col min="15886" max="15886" width="26.28515625" bestFit="1" customWidth="1"/>
    <col min="16130" max="16130" width="48.140625" bestFit="1" customWidth="1"/>
    <col min="16142" max="16142" width="26.28515625" bestFit="1" customWidth="1"/>
  </cols>
  <sheetData>
    <row r="1" spans="1:20" s="56" customFormat="1" ht="23.25">
      <c r="A1" s="22" t="str">
        <f>IS!A1</f>
        <v>Colgate-Palmolive Company</v>
      </c>
      <c r="F1" s="58"/>
      <c r="G1" s="58"/>
      <c r="H1" s="57"/>
    </row>
    <row r="2" spans="1:20" s="23" customFormat="1" ht="14.25"/>
    <row r="3" spans="1:20" s="23" customFormat="1" ht="20.25">
      <c r="A3" s="1" t="s">
        <v>191</v>
      </c>
    </row>
    <row r="4" spans="1:20" s="23" customFormat="1" ht="14.25"/>
    <row r="5" spans="1:20" s="56" customFormat="1" ht="15.75" thickBot="1">
      <c r="B5" s="165"/>
      <c r="C5" s="62">
        <f>BS!C5</f>
        <v>39447</v>
      </c>
      <c r="D5" s="62">
        <f>BS!D5</f>
        <v>39813</v>
      </c>
      <c r="E5" s="62">
        <f>BS!E5</f>
        <v>40178</v>
      </c>
      <c r="F5" s="62">
        <f>BS!F5</f>
        <v>40543</v>
      </c>
      <c r="G5" s="62">
        <f>BS!G5</f>
        <v>40908</v>
      </c>
      <c r="H5" s="62">
        <f>BS!H5</f>
        <v>41274</v>
      </c>
      <c r="I5" s="62">
        <f>BS!I5</f>
        <v>41639</v>
      </c>
      <c r="J5" s="62">
        <f>BS!J5</f>
        <v>42004</v>
      </c>
      <c r="K5" s="62">
        <f>BS!K5</f>
        <v>42369</v>
      </c>
      <c r="L5" s="62">
        <f>BS!L5</f>
        <v>42735</v>
      </c>
      <c r="M5" s="62">
        <f>BS!M5</f>
        <v>43100</v>
      </c>
      <c r="N5" s="62">
        <f>BS!N5</f>
        <v>43465</v>
      </c>
    </row>
    <row r="6" spans="1:20">
      <c r="B6" s="23" t="s">
        <v>98</v>
      </c>
      <c r="C6" s="262">
        <f>IS!C6</f>
        <v>13790</v>
      </c>
      <c r="D6" s="262">
        <f>IS!D6</f>
        <v>15330</v>
      </c>
      <c r="E6" s="262">
        <v>15337</v>
      </c>
      <c r="F6" s="262">
        <f>IS!F6</f>
        <v>15564</v>
      </c>
      <c r="G6" s="262">
        <f>IS!G6</f>
        <v>16734</v>
      </c>
      <c r="H6" s="262">
        <f>IS!H6</f>
        <v>17085</v>
      </c>
      <c r="I6" s="262">
        <f>IS!I6</f>
        <v>17420</v>
      </c>
      <c r="J6" s="262">
        <f>IS!J6</f>
        <v>17893.819331386832</v>
      </c>
      <c r="K6" s="262">
        <f>IS!K6</f>
        <v>18263.027093014571</v>
      </c>
      <c r="L6" s="262">
        <f>IS!L6</f>
        <v>18639.902294249863</v>
      </c>
      <c r="M6" s="262">
        <f>IS!M6</f>
        <v>19024.605365994237</v>
      </c>
      <c r="N6" s="262">
        <f>IS!N6</f>
        <v>19417.30012481998</v>
      </c>
      <c r="O6" s="262">
        <f>IS!P6</f>
        <v>0</v>
      </c>
    </row>
    <row r="7" spans="1:20">
      <c r="B7" s="23" t="s">
        <v>184</v>
      </c>
      <c r="C7" s="262">
        <f>IS!C7</f>
        <v>6043</v>
      </c>
      <c r="D7" s="262">
        <f>IS!D7</f>
        <v>6704</v>
      </c>
      <c r="E7" s="262">
        <v>6319</v>
      </c>
      <c r="F7" s="262">
        <f>IS!F7</f>
        <v>6360</v>
      </c>
      <c r="G7" s="262">
        <f>IS!G7</f>
        <v>7144</v>
      </c>
      <c r="H7" s="262">
        <f>IS!H7</f>
        <v>7153</v>
      </c>
      <c r="I7" s="262">
        <f>IS!I7</f>
        <v>7219</v>
      </c>
      <c r="J7" s="262">
        <f>IS!J7</f>
        <v>7425.9350225255348</v>
      </c>
      <c r="K7" s="262">
        <f>IS!K7</f>
        <v>7579.1562436010463</v>
      </c>
      <c r="L7" s="262">
        <f>IS!L7</f>
        <v>7735.5594521136927</v>
      </c>
      <c r="M7" s="262">
        <f>IS!M7</f>
        <v>7895.2112268876081</v>
      </c>
      <c r="N7" s="262">
        <f>IS!N7</f>
        <v>8058.1795518002909</v>
      </c>
    </row>
    <row r="8" spans="1:20">
      <c r="B8" s="23"/>
    </row>
    <row r="9" spans="1:20">
      <c r="B9" s="166" t="s">
        <v>100</v>
      </c>
    </row>
    <row r="10" spans="1:20">
      <c r="B10" s="5" t="s">
        <v>231</v>
      </c>
      <c r="C10" s="154">
        <f>BS!C9</f>
        <v>1681</v>
      </c>
      <c r="D10" s="154">
        <f>BS!D9</f>
        <v>1592</v>
      </c>
      <c r="E10" s="154">
        <v>1626</v>
      </c>
      <c r="F10" s="50">
        <v>1610</v>
      </c>
      <c r="G10" s="50">
        <v>1675</v>
      </c>
      <c r="H10" s="50">
        <v>1668</v>
      </c>
      <c r="I10" s="50">
        <v>1636</v>
      </c>
      <c r="J10" s="155">
        <f>J27/$S$10*J6</f>
        <v>1715.8456893110661</v>
      </c>
      <c r="K10" s="155">
        <f t="shared" ref="K10:N10" si="0">K27/$S$10*K6</f>
        <v>1751.2491733027668</v>
      </c>
      <c r="L10" s="155">
        <f t="shared" si="0"/>
        <v>1787.3878912294388</v>
      </c>
      <c r="M10" s="155">
        <f t="shared" si="0"/>
        <v>1824.2772268761596</v>
      </c>
      <c r="N10" s="155">
        <f t="shared" si="0"/>
        <v>1861.9328886813678</v>
      </c>
      <c r="O10" s="23"/>
      <c r="P10" s="23"/>
      <c r="Q10" s="23"/>
      <c r="R10" t="s">
        <v>99</v>
      </c>
      <c r="S10">
        <v>365</v>
      </c>
      <c r="T10" s="23"/>
    </row>
    <row r="11" spans="1:20">
      <c r="B11" s="5" t="s">
        <v>25</v>
      </c>
      <c r="C11" s="154">
        <f>BS!C10</f>
        <v>1171</v>
      </c>
      <c r="D11" s="154">
        <f>BS!D10</f>
        <v>1197</v>
      </c>
      <c r="E11" s="154">
        <v>1209</v>
      </c>
      <c r="F11" s="50">
        <v>1222</v>
      </c>
      <c r="G11" s="50">
        <v>1327</v>
      </c>
      <c r="H11" s="50">
        <v>1365</v>
      </c>
      <c r="I11" s="50">
        <v>1425</v>
      </c>
      <c r="J11" s="155">
        <f>J28/$S$10*J7</f>
        <v>1424.1519221281847</v>
      </c>
      <c r="K11" s="155">
        <f t="shared" ref="K11:N11" si="1">K28/$S$10*K7</f>
        <v>1453.5368138412964</v>
      </c>
      <c r="L11" s="155">
        <f t="shared" si="1"/>
        <v>1483.5319497204341</v>
      </c>
      <c r="M11" s="155">
        <f t="shared" si="1"/>
        <v>1514.1500983072124</v>
      </c>
      <c r="N11" s="155">
        <f t="shared" si="1"/>
        <v>1545.4042976055352</v>
      </c>
      <c r="O11" s="23"/>
      <c r="P11" s="23"/>
      <c r="Q11" s="23"/>
      <c r="R11" s="23"/>
    </row>
    <row r="12" spans="1:20">
      <c r="B12" s="5" t="s">
        <v>26</v>
      </c>
      <c r="C12" s="154">
        <f>BS!C11</f>
        <v>338</v>
      </c>
      <c r="D12" s="154">
        <f>BS!D11</f>
        <v>366</v>
      </c>
      <c r="E12" s="154">
        <v>375</v>
      </c>
      <c r="F12" s="52">
        <v>408</v>
      </c>
      <c r="G12" s="52">
        <v>522</v>
      </c>
      <c r="H12" s="52">
        <v>639</v>
      </c>
      <c r="I12" s="52">
        <v>799</v>
      </c>
      <c r="J12" s="155">
        <f>J6*J29</f>
        <v>805.22186991240744</v>
      </c>
      <c r="K12" s="155">
        <f t="shared" ref="K12:N12" si="2">K6*K29</f>
        <v>821.83621918565564</v>
      </c>
      <c r="L12" s="155">
        <f t="shared" si="2"/>
        <v>838.79560324124384</v>
      </c>
      <c r="M12" s="155">
        <f t="shared" si="2"/>
        <v>856.10724146974064</v>
      </c>
      <c r="N12" s="155">
        <f t="shared" si="2"/>
        <v>873.77850561689911</v>
      </c>
      <c r="O12" s="23"/>
      <c r="P12" s="23"/>
      <c r="Q12" s="23"/>
      <c r="R12" s="23"/>
    </row>
    <row r="13" spans="1:20" ht="15.75" thickBot="1">
      <c r="B13" s="167" t="s">
        <v>101</v>
      </c>
      <c r="C13" s="163">
        <f>SUM(C10:C12)</f>
        <v>3190</v>
      </c>
      <c r="D13" s="163">
        <f t="shared" ref="D13" si="3">SUM(D10:D12)</f>
        <v>3155</v>
      </c>
      <c r="E13" s="163">
        <f>SUM(E10:E12)</f>
        <v>3210</v>
      </c>
      <c r="F13" s="163">
        <f>SUM(F10:F12)</f>
        <v>3240</v>
      </c>
      <c r="G13" s="163">
        <f t="shared" ref="G13:I13" si="4">SUM(G10:G12)</f>
        <v>3524</v>
      </c>
      <c r="H13" s="163">
        <f t="shared" si="4"/>
        <v>3672</v>
      </c>
      <c r="I13" s="163">
        <f t="shared" si="4"/>
        <v>3860</v>
      </c>
      <c r="J13" s="163">
        <f>SUM(J10:J12)</f>
        <v>3945.219481351658</v>
      </c>
      <c r="K13" s="163">
        <f t="shared" ref="K13:N13" si="5">SUM(K10:K12)</f>
        <v>4026.6222063297191</v>
      </c>
      <c r="L13" s="163">
        <f t="shared" si="5"/>
        <v>4109.7154441911171</v>
      </c>
      <c r="M13" s="163">
        <f t="shared" si="5"/>
        <v>4194.534566653113</v>
      </c>
      <c r="N13" s="163">
        <f t="shared" si="5"/>
        <v>4281.1156919038021</v>
      </c>
      <c r="O13" s="23"/>
      <c r="P13" s="23"/>
      <c r="Q13" s="23"/>
      <c r="R13" s="23"/>
    </row>
    <row r="14" spans="1:20">
      <c r="B14" s="23"/>
      <c r="C14" s="155"/>
      <c r="D14" s="155"/>
      <c r="E14" s="155"/>
      <c r="F14" s="155"/>
      <c r="G14" s="155"/>
      <c r="H14" s="155"/>
      <c r="I14" s="155"/>
      <c r="J14" s="155"/>
      <c r="K14" s="155"/>
      <c r="L14" s="155"/>
      <c r="M14" s="155"/>
      <c r="N14" s="155"/>
      <c r="O14" s="23"/>
      <c r="P14" s="23"/>
      <c r="Q14" s="23"/>
      <c r="R14" s="23"/>
    </row>
    <row r="15" spans="1:20">
      <c r="B15" s="5" t="s">
        <v>38</v>
      </c>
      <c r="C15" s="154">
        <f>BS!C25</f>
        <v>1067</v>
      </c>
      <c r="D15" s="154">
        <f>BS!D25</f>
        <v>1061</v>
      </c>
      <c r="E15" s="154">
        <v>1172</v>
      </c>
      <c r="F15" s="154">
        <v>1165</v>
      </c>
      <c r="G15" s="154">
        <v>1244</v>
      </c>
      <c r="H15" s="154">
        <v>1290</v>
      </c>
      <c r="I15" s="154">
        <v>1343</v>
      </c>
      <c r="J15" s="155">
        <f>J31/$S$10*J24</f>
        <v>1322.2757572671007</v>
      </c>
      <c r="K15" s="155">
        <f t="shared" ref="K15:N15" si="6">K31/$S$10*K24</f>
        <v>1354.9456816312882</v>
      </c>
      <c r="L15" s="155">
        <f t="shared" si="6"/>
        <v>1382.9069814233808</v>
      </c>
      <c r="M15" s="155">
        <f t="shared" si="6"/>
        <v>1411.4490668653016</v>
      </c>
      <c r="N15" s="155">
        <f t="shared" si="6"/>
        <v>1440.5840926613969</v>
      </c>
      <c r="O15" s="23"/>
      <c r="P15" s="23"/>
      <c r="Q15" s="23"/>
      <c r="R15" s="23"/>
    </row>
    <row r="16" spans="1:20">
      <c r="B16" s="5" t="s">
        <v>39</v>
      </c>
      <c r="C16" s="154">
        <f>BS!C26</f>
        <v>263</v>
      </c>
      <c r="D16" s="154">
        <f>BS!D26</f>
        <v>272</v>
      </c>
      <c r="E16" s="154">
        <v>387</v>
      </c>
      <c r="F16" s="154">
        <v>272</v>
      </c>
      <c r="G16" s="154">
        <v>392</v>
      </c>
      <c r="H16" s="154">
        <v>254</v>
      </c>
      <c r="I16" s="154">
        <v>239</v>
      </c>
      <c r="J16" s="155">
        <f>J7*J32</f>
        <v>259.90772578839375</v>
      </c>
      <c r="K16" s="155">
        <f t="shared" ref="K16:N16" si="7">K7*K32</f>
        <v>265.27046852603667</v>
      </c>
      <c r="L16" s="155">
        <f t="shared" si="7"/>
        <v>270.74458082397928</v>
      </c>
      <c r="M16" s="155">
        <f t="shared" si="7"/>
        <v>276.3323929410663</v>
      </c>
      <c r="N16" s="155">
        <f t="shared" si="7"/>
        <v>282.03628431301019</v>
      </c>
      <c r="O16" s="23"/>
      <c r="P16" s="23"/>
      <c r="Q16" s="23"/>
      <c r="R16" s="23"/>
    </row>
    <row r="17" spans="1:18">
      <c r="B17" s="5" t="s">
        <v>40</v>
      </c>
      <c r="C17" s="154">
        <f>BS!C27</f>
        <v>1539</v>
      </c>
      <c r="D17" s="154">
        <f>BS!D27</f>
        <v>1421</v>
      </c>
      <c r="E17" s="154">
        <v>1679</v>
      </c>
      <c r="F17" s="154">
        <v>1682</v>
      </c>
      <c r="G17" s="154">
        <v>1700</v>
      </c>
      <c r="H17" s="154">
        <v>1888</v>
      </c>
      <c r="I17" s="154">
        <v>1980</v>
      </c>
      <c r="J17" s="155">
        <f>J7*J33</f>
        <v>2005.0024560818945</v>
      </c>
      <c r="K17" s="155">
        <f t="shared" ref="K17:N17" si="8">K7*K33</f>
        <v>2046.3721857722826</v>
      </c>
      <c r="L17" s="155">
        <f t="shared" si="8"/>
        <v>2088.6010520706973</v>
      </c>
      <c r="M17" s="155">
        <f t="shared" si="8"/>
        <v>2131.7070312596543</v>
      </c>
      <c r="N17" s="155">
        <f t="shared" si="8"/>
        <v>2175.7084789860787</v>
      </c>
      <c r="O17" s="23"/>
      <c r="P17" s="23"/>
      <c r="Q17" s="23"/>
      <c r="R17" s="23"/>
    </row>
    <row r="18" spans="1:18" ht="15.75" thickBot="1">
      <c r="B18" s="167" t="s">
        <v>102</v>
      </c>
      <c r="C18" s="164">
        <f>SUM(C15:C17)</f>
        <v>2869</v>
      </c>
      <c r="D18" s="164">
        <f t="shared" ref="D18" si="9">SUM(D15:D17)</f>
        <v>2754</v>
      </c>
      <c r="E18" s="164">
        <f>SUM(E15:E17)</f>
        <v>3238</v>
      </c>
      <c r="F18" s="164">
        <f>SUM(F15:F17)</f>
        <v>3119</v>
      </c>
      <c r="G18" s="164">
        <f t="shared" ref="G18:I18" si="10">SUM(G15:G17)</f>
        <v>3336</v>
      </c>
      <c r="H18" s="164">
        <f t="shared" si="10"/>
        <v>3432</v>
      </c>
      <c r="I18" s="164">
        <f t="shared" si="10"/>
        <v>3562</v>
      </c>
      <c r="J18" s="164">
        <f>SUM(J15:J17)</f>
        <v>3587.1859391373891</v>
      </c>
      <c r="K18" s="164">
        <f t="shared" ref="K18:N18" si="11">SUM(K15:K17)</f>
        <v>3666.5883359296076</v>
      </c>
      <c r="L18" s="164">
        <f t="shared" si="11"/>
        <v>3742.2526143180576</v>
      </c>
      <c r="M18" s="164">
        <f t="shared" si="11"/>
        <v>3819.4884910660221</v>
      </c>
      <c r="N18" s="164">
        <f t="shared" si="11"/>
        <v>3898.3288559604857</v>
      </c>
      <c r="O18" s="23"/>
      <c r="P18" s="23"/>
      <c r="Q18" s="23"/>
      <c r="R18" s="23"/>
    </row>
    <row r="19" spans="1:18">
      <c r="B19" s="23"/>
      <c r="C19" s="155"/>
      <c r="D19" s="155"/>
      <c r="E19" s="155"/>
      <c r="F19" s="155"/>
      <c r="G19" s="155"/>
      <c r="H19" s="155"/>
      <c r="I19" s="155"/>
      <c r="J19" s="155"/>
      <c r="K19" s="155"/>
      <c r="L19" s="155"/>
      <c r="M19" s="155"/>
      <c r="N19" s="155"/>
      <c r="O19" s="23"/>
      <c r="P19" s="23"/>
      <c r="Q19" s="23"/>
      <c r="R19" s="23"/>
    </row>
    <row r="20" spans="1:18">
      <c r="B20" s="25" t="s">
        <v>103</v>
      </c>
      <c r="C20" s="156">
        <f>C13-C18</f>
        <v>321</v>
      </c>
      <c r="D20" s="156">
        <f t="shared" ref="D20" si="12">D13-D18</f>
        <v>401</v>
      </c>
      <c r="E20" s="156">
        <f>E13-E18</f>
        <v>-28</v>
      </c>
      <c r="F20" s="156">
        <f>F13-F18</f>
        <v>121</v>
      </c>
      <c r="G20" s="156">
        <f t="shared" ref="G20:N20" si="13">G13-G18</f>
        <v>188</v>
      </c>
      <c r="H20" s="156">
        <f t="shared" si="13"/>
        <v>240</v>
      </c>
      <c r="I20" s="156">
        <f t="shared" si="13"/>
        <v>298</v>
      </c>
      <c r="J20" s="156">
        <f t="shared" si="13"/>
        <v>358.03354221426889</v>
      </c>
      <c r="K20" s="156">
        <f t="shared" si="13"/>
        <v>360.03387040011148</v>
      </c>
      <c r="L20" s="156">
        <f t="shared" si="13"/>
        <v>367.46282987305949</v>
      </c>
      <c r="M20" s="156">
        <f t="shared" si="13"/>
        <v>375.04607558709085</v>
      </c>
      <c r="N20" s="156">
        <f t="shared" si="13"/>
        <v>382.78683594331642</v>
      </c>
      <c r="O20" s="23"/>
      <c r="P20" s="23"/>
      <c r="Q20" s="23"/>
      <c r="R20" s="23"/>
    </row>
    <row r="21" spans="1:18">
      <c r="B21" s="23"/>
      <c r="C21" s="155"/>
      <c r="D21" s="155"/>
      <c r="E21" s="155"/>
      <c r="F21" s="155"/>
      <c r="G21" s="155"/>
      <c r="H21" s="155"/>
      <c r="I21" s="155"/>
      <c r="J21" s="155"/>
      <c r="K21" s="155"/>
      <c r="L21" s="155"/>
      <c r="M21" s="155"/>
      <c r="N21" s="155"/>
      <c r="O21" s="23"/>
      <c r="P21" s="23"/>
      <c r="Q21" s="23"/>
      <c r="R21" s="23"/>
    </row>
    <row r="22" spans="1:18">
      <c r="B22" s="23" t="s">
        <v>104</v>
      </c>
      <c r="C22" s="157"/>
      <c r="D22" s="156">
        <f t="shared" ref="D22" si="14">C20-D20</f>
        <v>-80</v>
      </c>
      <c r="E22" s="156">
        <f>D20-E20</f>
        <v>429</v>
      </c>
      <c r="F22" s="156">
        <f t="shared" ref="F22:N22" si="15">E20-F20</f>
        <v>-149</v>
      </c>
      <c r="G22" s="156">
        <f t="shared" si="15"/>
        <v>-67</v>
      </c>
      <c r="H22" s="156">
        <f t="shared" si="15"/>
        <v>-52</v>
      </c>
      <c r="I22" s="156">
        <f t="shared" si="15"/>
        <v>-58</v>
      </c>
      <c r="J22" s="156">
        <f t="shared" si="15"/>
        <v>-60.033542214268891</v>
      </c>
      <c r="K22" s="156">
        <f t="shared" si="15"/>
        <v>-2.0003281858425908</v>
      </c>
      <c r="L22" s="156">
        <f t="shared" si="15"/>
        <v>-7.4289594729480086</v>
      </c>
      <c r="M22" s="156">
        <f t="shared" si="15"/>
        <v>-7.5832457140313636</v>
      </c>
      <c r="N22" s="156">
        <f t="shared" si="15"/>
        <v>-7.7407603562255645</v>
      </c>
      <c r="O22" s="23"/>
      <c r="P22" s="23"/>
      <c r="Q22" s="23"/>
      <c r="R22" s="23"/>
    </row>
    <row r="23" spans="1:18" ht="15.75" thickBot="1">
      <c r="B23" s="23"/>
      <c r="C23" s="155"/>
      <c r="D23" s="155"/>
      <c r="E23" s="155"/>
      <c r="F23" s="155"/>
      <c r="G23" s="155"/>
      <c r="H23" s="155"/>
      <c r="I23" s="155"/>
      <c r="J23" s="155"/>
      <c r="K23" s="155"/>
      <c r="L23" s="155"/>
      <c r="M23" s="155"/>
      <c r="N23" s="155"/>
      <c r="O23" s="23"/>
      <c r="P23" s="23"/>
      <c r="Q23" s="23"/>
      <c r="R23" s="23"/>
    </row>
    <row r="24" spans="1:18" ht="15.75" thickBot="1">
      <c r="B24" s="247" t="s">
        <v>185</v>
      </c>
      <c r="C24" s="248"/>
      <c r="D24" s="248">
        <f>D7+D11-C11</f>
        <v>6730</v>
      </c>
      <c r="E24" s="248">
        <f>E7+E11-D11</f>
        <v>6331</v>
      </c>
      <c r="F24" s="248">
        <f t="shared" ref="F24:I24" si="16">F7+F11-E11</f>
        <v>6373</v>
      </c>
      <c r="G24" s="248">
        <f t="shared" si="16"/>
        <v>7249</v>
      </c>
      <c r="H24" s="248">
        <f t="shared" si="16"/>
        <v>7191</v>
      </c>
      <c r="I24" s="248">
        <f t="shared" si="16"/>
        <v>7279</v>
      </c>
      <c r="J24" s="248">
        <f>J7+J11-I11</f>
        <v>7425.0869446537199</v>
      </c>
      <c r="K24" s="248">
        <f t="shared" ref="K24:N24" si="17">K7+K11-J11</f>
        <v>7608.5411353141571</v>
      </c>
      <c r="L24" s="248">
        <f t="shared" si="17"/>
        <v>7765.5545879928304</v>
      </c>
      <c r="M24" s="248">
        <f t="shared" si="17"/>
        <v>7925.8293754743863</v>
      </c>
      <c r="N24" s="248">
        <f t="shared" si="17"/>
        <v>8089.4337510986134</v>
      </c>
      <c r="O24" s="23"/>
      <c r="P24" s="23"/>
      <c r="Q24" s="23"/>
      <c r="R24" s="23"/>
    </row>
    <row r="25" spans="1:18">
      <c r="B25" s="23"/>
      <c r="C25" s="155"/>
      <c r="J25" s="155"/>
      <c r="K25" s="155"/>
      <c r="L25" s="155"/>
      <c r="M25" s="155"/>
      <c r="N25" s="155"/>
      <c r="O25" s="23"/>
      <c r="P25" s="23"/>
      <c r="Q25" s="23"/>
      <c r="R25" s="23"/>
    </row>
    <row r="26" spans="1:18">
      <c r="B26" s="166" t="s">
        <v>105</v>
      </c>
      <c r="C26" s="155"/>
      <c r="D26" s="155"/>
      <c r="E26" s="155"/>
      <c r="F26" s="155"/>
      <c r="G26" s="155"/>
      <c r="H26" s="155"/>
      <c r="I26" s="155"/>
      <c r="J26" s="155"/>
      <c r="K26" s="155"/>
      <c r="L26" s="155"/>
      <c r="M26" s="155"/>
      <c r="N26" s="155"/>
      <c r="O26" s="23"/>
      <c r="P26" s="23"/>
      <c r="Q26" s="23"/>
      <c r="R26" s="23"/>
    </row>
    <row r="27" spans="1:18">
      <c r="A27">
        <v>0</v>
      </c>
      <c r="B27" s="23" t="s">
        <v>106</v>
      </c>
      <c r="C27" s="155">
        <f>$S$10/(C6/C10)</f>
        <v>44.493473531544602</v>
      </c>
      <c r="D27" s="155">
        <f t="shared" ref="D27" si="18">$S$10/(D6/D10)</f>
        <v>37.904761904761905</v>
      </c>
      <c r="E27" s="155">
        <f>S10/(E6/E10)</f>
        <v>38.696616026602335</v>
      </c>
      <c r="F27" s="155">
        <f>$S$10/(F6/F10)</f>
        <v>37.757003341043436</v>
      </c>
      <c r="G27" s="155">
        <f t="shared" ref="G27:I27" si="19">$S$10/(G6/G10)</f>
        <v>36.534899008007649</v>
      </c>
      <c r="H27" s="155">
        <f t="shared" si="19"/>
        <v>35.634767339771734</v>
      </c>
      <c r="I27" s="155">
        <f t="shared" si="19"/>
        <v>34.278989667049373</v>
      </c>
      <c r="J27" s="197">
        <v>35</v>
      </c>
      <c r="K27" s="197">
        <v>35</v>
      </c>
      <c r="L27" s="197">
        <v>35</v>
      </c>
      <c r="M27" s="197">
        <v>35</v>
      </c>
      <c r="N27" s="197">
        <v>35</v>
      </c>
      <c r="O27" s="23"/>
      <c r="P27" s="23"/>
      <c r="Q27" s="23"/>
      <c r="R27" s="23"/>
    </row>
    <row r="28" spans="1:18">
      <c r="B28" s="23" t="s">
        <v>107</v>
      </c>
      <c r="C28" s="155">
        <f>$S$10/(C7/C11)</f>
        <v>70.728942578189645</v>
      </c>
      <c r="D28" s="155">
        <f t="shared" ref="D28" si="20">$S$10/(D7/D11)</f>
        <v>65.170793556085926</v>
      </c>
      <c r="E28" s="155">
        <f>$S$10/(E6/E11)</f>
        <v>28.772576123100997</v>
      </c>
      <c r="F28" s="155">
        <f t="shared" ref="F28:I28" si="21">$S$10/(F6/F11)</f>
        <v>28.65780005140067</v>
      </c>
      <c r="G28" s="155">
        <f t="shared" si="21"/>
        <v>28.94436476634397</v>
      </c>
      <c r="H28" s="155">
        <f t="shared" si="21"/>
        <v>29.161545215100965</v>
      </c>
      <c r="I28" s="155">
        <f t="shared" si="21"/>
        <v>29.857921928817451</v>
      </c>
      <c r="J28" s="197">
        <v>70</v>
      </c>
      <c r="K28" s="197">
        <v>70</v>
      </c>
      <c r="L28" s="197">
        <v>70</v>
      </c>
      <c r="M28" s="197">
        <v>70</v>
      </c>
      <c r="N28" s="197">
        <v>70</v>
      </c>
      <c r="O28" s="23"/>
      <c r="P28" s="23"/>
      <c r="Q28" s="23"/>
      <c r="R28" s="23"/>
    </row>
    <row r="29" spans="1:18">
      <c r="B29" s="23" t="s">
        <v>108</v>
      </c>
      <c r="C29" s="159">
        <f>C12/C6</f>
        <v>2.4510514865844817E-2</v>
      </c>
      <c r="D29" s="159">
        <f t="shared" ref="D29" si="22">D12/D6</f>
        <v>2.3874755381604697E-2</v>
      </c>
      <c r="E29" s="159">
        <f>E12/E6</f>
        <v>2.4450674838625546E-2</v>
      </c>
      <c r="F29" s="159">
        <f t="shared" ref="F29:I29" si="23">F12/F6</f>
        <v>2.6214340786430222E-2</v>
      </c>
      <c r="G29" s="159">
        <f t="shared" si="23"/>
        <v>3.1193976335604161E-2</v>
      </c>
      <c r="H29" s="159">
        <f t="shared" si="23"/>
        <v>3.7401229148375771E-2</v>
      </c>
      <c r="I29" s="159">
        <f t="shared" si="23"/>
        <v>4.5866819747416764E-2</v>
      </c>
      <c r="J29" s="198">
        <v>4.4999999999999998E-2</v>
      </c>
      <c r="K29" s="198">
        <v>4.4999999999999998E-2</v>
      </c>
      <c r="L29" s="198">
        <v>4.4999999999999998E-2</v>
      </c>
      <c r="M29" s="198">
        <v>4.4999999999999998E-2</v>
      </c>
      <c r="N29" s="198">
        <v>4.4999999999999998E-2</v>
      </c>
      <c r="O29" s="23"/>
      <c r="P29" s="23"/>
      <c r="Q29" s="23"/>
      <c r="R29" s="23"/>
    </row>
    <row r="30" spans="1:18">
      <c r="B30" s="23"/>
      <c r="C30" s="155"/>
      <c r="D30" s="155"/>
      <c r="E30" s="155"/>
      <c r="F30" s="155"/>
      <c r="G30" s="155"/>
      <c r="H30" s="155"/>
      <c r="I30" s="155"/>
      <c r="J30" s="197"/>
      <c r="K30" s="197"/>
      <c r="L30" s="197"/>
      <c r="M30" s="197"/>
      <c r="N30" s="197"/>
      <c r="O30" s="23"/>
      <c r="P30" s="23"/>
      <c r="Q30" s="23"/>
      <c r="R30" s="23"/>
    </row>
    <row r="31" spans="1:18">
      <c r="B31" s="23" t="s">
        <v>109</v>
      </c>
      <c r="C31" s="155"/>
      <c r="D31" s="155">
        <f>$S$10/(D24/D15)</f>
        <v>57.543090638930167</v>
      </c>
      <c r="E31" s="155">
        <f>$S$10/(E7/E15)</f>
        <v>67.697420477923728</v>
      </c>
      <c r="F31" s="155">
        <f t="shared" ref="F31:I31" si="24">$S$10/(F7/F15)</f>
        <v>66.859276729559753</v>
      </c>
      <c r="G31" s="155">
        <f t="shared" si="24"/>
        <v>63.558230683090706</v>
      </c>
      <c r="H31" s="155">
        <f t="shared" si="24"/>
        <v>65.825527750594162</v>
      </c>
      <c r="I31" s="155">
        <f t="shared" si="24"/>
        <v>67.903449231195466</v>
      </c>
      <c r="J31" s="197">
        <v>65</v>
      </c>
      <c r="K31" s="197">
        <v>65</v>
      </c>
      <c r="L31" s="197">
        <v>65</v>
      </c>
      <c r="M31" s="197">
        <v>65</v>
      </c>
      <c r="N31" s="197">
        <v>65</v>
      </c>
      <c r="O31" s="23"/>
      <c r="P31" s="23"/>
      <c r="Q31" s="23"/>
      <c r="R31" s="23"/>
    </row>
    <row r="32" spans="1:18">
      <c r="B32" s="23" t="s">
        <v>186</v>
      </c>
      <c r="C32" s="157"/>
      <c r="D32" s="159">
        <f>D16/D7</f>
        <v>4.0572792362768499E-2</v>
      </c>
      <c r="E32" s="159">
        <f>E16/E7</f>
        <v>6.1243867700585534E-2</v>
      </c>
      <c r="F32" s="159">
        <f t="shared" ref="F32:I32" si="25">F16/F7</f>
        <v>4.2767295597484274E-2</v>
      </c>
      <c r="G32" s="159">
        <f t="shared" si="25"/>
        <v>5.4871220604703244E-2</v>
      </c>
      <c r="H32" s="159">
        <f t="shared" si="25"/>
        <v>3.5509576401509854E-2</v>
      </c>
      <c r="I32" s="159">
        <f t="shared" si="25"/>
        <v>3.3107078542734453E-2</v>
      </c>
      <c r="J32" s="198">
        <v>3.5000000000000003E-2</v>
      </c>
      <c r="K32" s="198">
        <v>3.5000000000000003E-2</v>
      </c>
      <c r="L32" s="198">
        <v>3.5000000000000003E-2</v>
      </c>
      <c r="M32" s="198">
        <v>3.5000000000000003E-2</v>
      </c>
      <c r="N32" s="198">
        <v>3.5000000000000003E-2</v>
      </c>
      <c r="O32" s="23"/>
      <c r="P32" s="23"/>
      <c r="Q32" s="23"/>
      <c r="R32" s="23"/>
    </row>
    <row r="33" spans="2:18">
      <c r="B33" s="23" t="s">
        <v>187</v>
      </c>
      <c r="C33" s="157"/>
      <c r="D33" s="159">
        <f>D17/D7</f>
        <v>0.21196300715990454</v>
      </c>
      <c r="E33" s="159">
        <f>E17/E7</f>
        <v>0.26570659914543443</v>
      </c>
      <c r="F33" s="159">
        <f t="shared" ref="F33:I33" si="26">F17/F7</f>
        <v>0.26446540880503144</v>
      </c>
      <c r="G33" s="159">
        <f t="shared" si="26"/>
        <v>0.23796192609182532</v>
      </c>
      <c r="H33" s="159">
        <f t="shared" si="26"/>
        <v>0.26394519781909687</v>
      </c>
      <c r="I33" s="159">
        <f t="shared" si="26"/>
        <v>0.2742762155423189</v>
      </c>
      <c r="J33" s="198">
        <v>0.27</v>
      </c>
      <c r="K33" s="198">
        <v>0.27</v>
      </c>
      <c r="L33" s="198">
        <v>0.27</v>
      </c>
      <c r="M33" s="198">
        <v>0.27</v>
      </c>
      <c r="N33" s="198">
        <v>0.27</v>
      </c>
      <c r="O33" s="23"/>
      <c r="P33" s="23"/>
      <c r="Q33" s="23"/>
      <c r="R33" s="23"/>
    </row>
    <row r="34" spans="2:18">
      <c r="B34" s="23"/>
      <c r="C34" s="155"/>
      <c r="D34" s="155"/>
      <c r="E34" s="155"/>
      <c r="F34" s="155"/>
      <c r="G34" s="155"/>
      <c r="H34" s="155"/>
      <c r="I34" s="155"/>
      <c r="J34" s="155"/>
      <c r="K34" s="155"/>
      <c r="L34" s="155"/>
      <c r="M34" s="155"/>
      <c r="N34" s="155"/>
      <c r="O34" s="23"/>
      <c r="P34" s="23"/>
      <c r="Q34" s="23"/>
      <c r="R34" s="23"/>
    </row>
    <row r="35" spans="2:18">
      <c r="B35" s="166" t="s">
        <v>110</v>
      </c>
      <c r="C35" s="155"/>
      <c r="D35" s="155"/>
      <c r="E35" s="155"/>
      <c r="F35" s="155"/>
      <c r="G35" s="155"/>
      <c r="H35" s="155"/>
      <c r="I35" s="155"/>
      <c r="J35" s="155"/>
      <c r="K35" s="155"/>
      <c r="L35" s="155"/>
      <c r="M35" s="155"/>
      <c r="N35" s="155"/>
      <c r="O35" s="23"/>
      <c r="P35" s="23"/>
      <c r="Q35" s="23"/>
      <c r="R35" s="23"/>
    </row>
    <row r="36" spans="2:18">
      <c r="B36" s="5" t="s">
        <v>24</v>
      </c>
      <c r="C36" s="155"/>
      <c r="D36" s="157"/>
      <c r="E36" s="157">
        <f>D10-E10</f>
        <v>-34</v>
      </c>
      <c r="F36" s="157">
        <f t="shared" ref="F36:N36" si="27">E10-F10</f>
        <v>16</v>
      </c>
      <c r="G36" s="157">
        <f t="shared" si="27"/>
        <v>-65</v>
      </c>
      <c r="H36" s="157">
        <f t="shared" si="27"/>
        <v>7</v>
      </c>
      <c r="I36" s="157">
        <f t="shared" si="27"/>
        <v>32</v>
      </c>
      <c r="J36" s="157">
        <f t="shared" si="27"/>
        <v>-79.845689311066053</v>
      </c>
      <c r="K36" s="157">
        <f t="shared" si="27"/>
        <v>-35.403483991700796</v>
      </c>
      <c r="L36" s="157">
        <f t="shared" si="27"/>
        <v>-36.138717926671916</v>
      </c>
      <c r="M36" s="157">
        <f t="shared" si="27"/>
        <v>-36.889335646720838</v>
      </c>
      <c r="N36" s="157">
        <f t="shared" si="27"/>
        <v>-37.655661805208183</v>
      </c>
      <c r="O36" s="23"/>
      <c r="P36" s="23"/>
      <c r="Q36" s="23"/>
      <c r="R36" s="23"/>
    </row>
    <row r="37" spans="2:18">
      <c r="B37" s="5" t="s">
        <v>25</v>
      </c>
      <c r="C37" s="155"/>
      <c r="D37" s="157"/>
      <c r="E37" s="157">
        <f>D11-E11</f>
        <v>-12</v>
      </c>
      <c r="F37" s="157">
        <f t="shared" ref="F37:N37" si="28">E11-F11</f>
        <v>-13</v>
      </c>
      <c r="G37" s="157">
        <f t="shared" si="28"/>
        <v>-105</v>
      </c>
      <c r="H37" s="157">
        <f t="shared" si="28"/>
        <v>-38</v>
      </c>
      <c r="I37" s="157">
        <f t="shared" si="28"/>
        <v>-60</v>
      </c>
      <c r="J37" s="157">
        <f t="shared" si="28"/>
        <v>0.84807787181534877</v>
      </c>
      <c r="K37" s="157">
        <f t="shared" si="28"/>
        <v>-29.384891713111756</v>
      </c>
      <c r="L37" s="157">
        <f t="shared" si="28"/>
        <v>-29.995135879137706</v>
      </c>
      <c r="M37" s="157">
        <f t="shared" si="28"/>
        <v>-30.618148586778261</v>
      </c>
      <c r="N37" s="157">
        <f t="shared" si="28"/>
        <v>-31.254199298322874</v>
      </c>
      <c r="O37" s="23"/>
      <c r="P37" s="23"/>
      <c r="Q37" s="23"/>
      <c r="R37" s="23"/>
    </row>
    <row r="38" spans="2:18">
      <c r="B38" s="5" t="s">
        <v>26</v>
      </c>
      <c r="C38" s="155"/>
      <c r="D38" s="157"/>
      <c r="E38" s="157">
        <f>D12-E12</f>
        <v>-9</v>
      </c>
      <c r="F38" s="157">
        <f t="shared" ref="F38:N38" si="29">E12-F12</f>
        <v>-33</v>
      </c>
      <c r="G38" s="157">
        <f t="shared" si="29"/>
        <v>-114</v>
      </c>
      <c r="H38" s="157">
        <f t="shared" si="29"/>
        <v>-117</v>
      </c>
      <c r="I38" s="157">
        <f t="shared" si="29"/>
        <v>-160</v>
      </c>
      <c r="J38" s="157">
        <f t="shared" si="29"/>
        <v>-6.2218699124074419</v>
      </c>
      <c r="K38" s="157">
        <f t="shared" si="29"/>
        <v>-16.614349273248195</v>
      </c>
      <c r="L38" s="157">
        <f t="shared" si="29"/>
        <v>-16.959384055588203</v>
      </c>
      <c r="M38" s="157">
        <f t="shared" si="29"/>
        <v>-17.311638228496804</v>
      </c>
      <c r="N38" s="157">
        <f t="shared" si="29"/>
        <v>-17.671264147158467</v>
      </c>
      <c r="O38" s="23"/>
      <c r="P38" s="23"/>
      <c r="Q38" s="23"/>
      <c r="R38" s="23"/>
    </row>
    <row r="39" spans="2:18">
      <c r="B39" s="5" t="s">
        <v>38</v>
      </c>
      <c r="C39" s="155"/>
      <c r="D39" s="157"/>
      <c r="E39" s="157">
        <f>E15-D15</f>
        <v>111</v>
      </c>
      <c r="F39" s="157">
        <f t="shared" ref="F39:N39" si="30">F15-E15</f>
        <v>-7</v>
      </c>
      <c r="G39" s="157">
        <f t="shared" si="30"/>
        <v>79</v>
      </c>
      <c r="H39" s="157">
        <f t="shared" si="30"/>
        <v>46</v>
      </c>
      <c r="I39" s="157">
        <f t="shared" si="30"/>
        <v>53</v>
      </c>
      <c r="J39" s="157">
        <f t="shared" si="30"/>
        <v>-20.724242732899256</v>
      </c>
      <c r="K39" s="157">
        <f t="shared" si="30"/>
        <v>32.669924364187409</v>
      </c>
      <c r="L39" s="157">
        <f t="shared" si="30"/>
        <v>27.961299792092632</v>
      </c>
      <c r="M39" s="157">
        <f t="shared" si="30"/>
        <v>28.54208544192079</v>
      </c>
      <c r="N39" s="157">
        <f t="shared" si="30"/>
        <v>29.135025796095306</v>
      </c>
      <c r="O39" s="23"/>
      <c r="P39" s="23"/>
      <c r="Q39" s="23"/>
      <c r="R39" s="23"/>
    </row>
    <row r="40" spans="2:18">
      <c r="B40" s="5" t="s">
        <v>39</v>
      </c>
      <c r="C40" s="155"/>
      <c r="D40" s="157"/>
      <c r="E40" s="157">
        <f>E16-D16</f>
        <v>115</v>
      </c>
      <c r="F40" s="157">
        <f t="shared" ref="F40:N40" si="31">F16-E16</f>
        <v>-115</v>
      </c>
      <c r="G40" s="157">
        <f t="shared" si="31"/>
        <v>120</v>
      </c>
      <c r="H40" s="157">
        <f t="shared" si="31"/>
        <v>-138</v>
      </c>
      <c r="I40" s="157">
        <f t="shared" si="31"/>
        <v>-15</v>
      </c>
      <c r="J40" s="157">
        <f t="shared" si="31"/>
        <v>20.907725788393748</v>
      </c>
      <c r="K40" s="157">
        <f t="shared" si="31"/>
        <v>5.3627427376429182</v>
      </c>
      <c r="L40" s="157">
        <f t="shared" si="31"/>
        <v>5.4741122979426109</v>
      </c>
      <c r="M40" s="157">
        <f t="shared" si="31"/>
        <v>5.5878121170870259</v>
      </c>
      <c r="N40" s="157">
        <f t="shared" si="31"/>
        <v>5.7038913719438824</v>
      </c>
      <c r="O40" s="23"/>
      <c r="P40" s="23"/>
      <c r="Q40" s="23"/>
      <c r="R40" s="23"/>
    </row>
    <row r="41" spans="2:18">
      <c r="B41" s="5" t="s">
        <v>40</v>
      </c>
      <c r="C41" s="155"/>
      <c r="D41" s="157"/>
      <c r="E41" s="157">
        <f>E17-D17</f>
        <v>258</v>
      </c>
      <c r="F41" s="157">
        <f t="shared" ref="F41:N41" si="32">F17-E17</f>
        <v>3</v>
      </c>
      <c r="G41" s="157">
        <f t="shared" si="32"/>
        <v>18</v>
      </c>
      <c r="H41" s="157">
        <f t="shared" si="32"/>
        <v>188</v>
      </c>
      <c r="I41" s="157">
        <f t="shared" si="32"/>
        <v>92</v>
      </c>
      <c r="J41" s="157">
        <f t="shared" si="32"/>
        <v>25.002456081894479</v>
      </c>
      <c r="K41" s="157">
        <f t="shared" si="32"/>
        <v>41.369729690388112</v>
      </c>
      <c r="L41" s="157">
        <f t="shared" si="32"/>
        <v>42.228866298414687</v>
      </c>
      <c r="M41" s="157">
        <f t="shared" si="32"/>
        <v>43.105979188957008</v>
      </c>
      <c r="N41" s="157">
        <f t="shared" si="32"/>
        <v>44.001447726424431</v>
      </c>
      <c r="O41" s="23"/>
      <c r="P41" s="23"/>
      <c r="Q41" s="23"/>
      <c r="R41" s="23"/>
    </row>
    <row r="42" spans="2:18" ht="15.75" thickBot="1">
      <c r="B42" s="160" t="s">
        <v>111</v>
      </c>
      <c r="C42" s="161"/>
      <c r="D42" s="162"/>
      <c r="E42" s="162">
        <f>SUM(E36:E41)</f>
        <v>429</v>
      </c>
      <c r="F42" s="162">
        <f t="shared" ref="F42:N42" si="33">SUM(F36:F41)</f>
        <v>-149</v>
      </c>
      <c r="G42" s="162">
        <f t="shared" si="33"/>
        <v>-67</v>
      </c>
      <c r="H42" s="162">
        <f t="shared" si="33"/>
        <v>-52</v>
      </c>
      <c r="I42" s="162">
        <f t="shared" si="33"/>
        <v>-58</v>
      </c>
      <c r="J42" s="162">
        <f t="shared" si="33"/>
        <v>-60.033542214269175</v>
      </c>
      <c r="K42" s="162">
        <f t="shared" si="33"/>
        <v>-2.0003281858423065</v>
      </c>
      <c r="L42" s="162">
        <f t="shared" si="33"/>
        <v>-7.4289594729478949</v>
      </c>
      <c r="M42" s="162">
        <f t="shared" si="33"/>
        <v>-7.5832457140310794</v>
      </c>
      <c r="N42" s="162">
        <f t="shared" si="33"/>
        <v>-7.7407603562259055</v>
      </c>
      <c r="O42" s="23"/>
      <c r="P42" s="23"/>
      <c r="Q42" s="23"/>
      <c r="R42" s="23"/>
    </row>
    <row r="43" spans="2:18" ht="15.75" thickTop="1">
      <c r="B43" s="23"/>
      <c r="C43" s="155"/>
      <c r="D43" s="157"/>
      <c r="E43" s="157"/>
      <c r="F43" s="157"/>
      <c r="G43" s="157"/>
      <c r="H43" s="157"/>
      <c r="I43" s="157"/>
      <c r="J43" s="157"/>
      <c r="K43" s="157"/>
      <c r="L43" s="157"/>
      <c r="M43" s="155"/>
      <c r="N43" s="155"/>
      <c r="O43" s="23"/>
      <c r="P43" s="23"/>
      <c r="Q43" s="23"/>
      <c r="R43" s="23"/>
    </row>
    <row r="44" spans="2:18">
      <c r="B44" s="93" t="s">
        <v>112</v>
      </c>
      <c r="C44" s="155"/>
      <c r="D44" s="157"/>
      <c r="E44" s="157"/>
      <c r="F44" s="157"/>
      <c r="G44" s="157"/>
      <c r="H44" s="157"/>
      <c r="I44" s="157"/>
      <c r="J44" s="157"/>
      <c r="K44" s="157"/>
      <c r="L44" s="157"/>
      <c r="M44" s="155"/>
      <c r="N44" s="155"/>
      <c r="O44" s="23"/>
      <c r="P44" s="23"/>
      <c r="Q44" s="23"/>
      <c r="R44" s="23"/>
    </row>
    <row r="45" spans="2:18">
      <c r="C45" s="155"/>
      <c r="D45" s="155"/>
      <c r="E45" s="155"/>
      <c r="F45" s="155"/>
      <c r="G45" s="155"/>
      <c r="H45" s="155"/>
      <c r="I45" s="155"/>
      <c r="J45" s="155"/>
      <c r="K45" s="155"/>
      <c r="L45" s="155"/>
      <c r="M45" s="155"/>
      <c r="N45" s="155"/>
      <c r="O45" s="23"/>
      <c r="P45" s="23"/>
      <c r="Q45" s="23"/>
      <c r="R45" s="23"/>
    </row>
    <row r="46" spans="2:18">
      <c r="C46" s="155"/>
      <c r="D46" s="155"/>
      <c r="E46" s="155"/>
      <c r="F46" s="155"/>
      <c r="G46" s="155"/>
      <c r="H46" s="155"/>
      <c r="I46" s="155"/>
      <c r="J46" s="155"/>
      <c r="K46" s="155"/>
      <c r="L46" s="155"/>
      <c r="M46" s="155"/>
      <c r="N46" s="155"/>
      <c r="O46" s="23"/>
      <c r="P46" s="23"/>
      <c r="Q46" s="23"/>
      <c r="R46" s="23"/>
    </row>
    <row r="47" spans="2:18">
      <c r="C47" s="155"/>
      <c r="D47" s="155"/>
      <c r="E47" s="155"/>
      <c r="F47" s="155"/>
      <c r="G47" s="155"/>
      <c r="H47" s="155"/>
      <c r="I47" s="155"/>
      <c r="J47" s="155"/>
      <c r="K47" s="155"/>
      <c r="L47" s="155"/>
      <c r="M47" s="155"/>
      <c r="N47" s="155"/>
      <c r="O47" s="23"/>
      <c r="P47" s="23"/>
      <c r="Q47" s="23"/>
      <c r="R47" s="23"/>
    </row>
    <row r="48" spans="2:18">
      <c r="C48" s="155"/>
      <c r="D48" s="155"/>
      <c r="E48" s="155"/>
      <c r="F48" s="155"/>
      <c r="G48" s="155"/>
      <c r="H48" s="155"/>
      <c r="I48" s="155"/>
      <c r="J48" s="155"/>
      <c r="K48" s="155"/>
      <c r="L48" s="155"/>
      <c r="M48" s="155"/>
      <c r="N48" s="155"/>
      <c r="O48" s="23"/>
      <c r="P48" s="23"/>
      <c r="Q48" s="23"/>
      <c r="R48" s="23"/>
    </row>
    <row r="49" spans="3:14">
      <c r="C49" s="158"/>
      <c r="D49" s="158"/>
      <c r="E49" s="158"/>
      <c r="F49" s="158"/>
      <c r="G49" s="158"/>
      <c r="H49" s="158"/>
      <c r="I49" s="158"/>
      <c r="J49" s="158"/>
      <c r="K49" s="158"/>
      <c r="L49" s="158"/>
      <c r="M49" s="158"/>
      <c r="N49" s="158"/>
    </row>
    <row r="50" spans="3:14">
      <c r="C50" s="158"/>
      <c r="D50" s="158"/>
      <c r="E50" s="158"/>
      <c r="F50" s="158"/>
      <c r="G50" s="158"/>
      <c r="H50" s="158"/>
      <c r="I50" s="158"/>
      <c r="J50" s="158"/>
      <c r="K50" s="158"/>
      <c r="L50" s="158"/>
      <c r="M50" s="158"/>
      <c r="N50" s="158"/>
    </row>
    <row r="51" spans="3:14">
      <c r="C51" s="158"/>
      <c r="D51" s="158"/>
      <c r="E51" s="158"/>
      <c r="F51" s="158"/>
      <c r="G51" s="158"/>
      <c r="H51" s="158"/>
      <c r="I51" s="158"/>
      <c r="J51" s="158"/>
      <c r="K51" s="158"/>
      <c r="L51" s="158"/>
      <c r="M51" s="158"/>
      <c r="N51" s="158"/>
    </row>
  </sheetData>
  <pageMargins left="0.7" right="0.7" top="0.75" bottom="0.75" header="0.3" footer="0.3"/>
  <pageSetup orientation="portrait" horizontalDpi="200" verticalDpi="20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N32"/>
  <sheetViews>
    <sheetView workbookViewId="0">
      <selection activeCell="F8" sqref="F8:N13"/>
    </sheetView>
  </sheetViews>
  <sheetFormatPr defaultRowHeight="15"/>
  <cols>
    <col min="1" max="1" width="3" style="91" customWidth="1"/>
    <col min="2" max="2" width="41.28515625" style="91" customWidth="1"/>
    <col min="3" max="5" width="10.140625" style="91" hidden="1" customWidth="1"/>
    <col min="6" max="9" width="10.140625" style="91" bestFit="1" customWidth="1"/>
    <col min="10" max="10" width="10" style="91" bestFit="1" customWidth="1"/>
    <col min="11" max="257" width="9.140625" style="91"/>
    <col min="258" max="258" width="37.5703125" style="91" customWidth="1"/>
    <col min="259" max="513" width="9.140625" style="91"/>
    <col min="514" max="514" width="37.5703125" style="91" customWidth="1"/>
    <col min="515" max="769" width="9.140625" style="91"/>
    <col min="770" max="770" width="37.5703125" style="91" customWidth="1"/>
    <col min="771" max="1025" width="9.140625" style="91"/>
    <col min="1026" max="1026" width="37.5703125" style="91" customWidth="1"/>
    <col min="1027" max="1281" width="9.140625" style="91"/>
    <col min="1282" max="1282" width="37.5703125" style="91" customWidth="1"/>
    <col min="1283" max="1537" width="9.140625" style="91"/>
    <col min="1538" max="1538" width="37.5703125" style="91" customWidth="1"/>
    <col min="1539" max="1793" width="9.140625" style="91"/>
    <col min="1794" max="1794" width="37.5703125" style="91" customWidth="1"/>
    <col min="1795" max="2049" width="9.140625" style="91"/>
    <col min="2050" max="2050" width="37.5703125" style="91" customWidth="1"/>
    <col min="2051" max="2305" width="9.140625" style="91"/>
    <col min="2306" max="2306" width="37.5703125" style="91" customWidth="1"/>
    <col min="2307" max="2561" width="9.140625" style="91"/>
    <col min="2562" max="2562" width="37.5703125" style="91" customWidth="1"/>
    <col min="2563" max="2817" width="9.140625" style="91"/>
    <col min="2818" max="2818" width="37.5703125" style="91" customWidth="1"/>
    <col min="2819" max="3073" width="9.140625" style="91"/>
    <col min="3074" max="3074" width="37.5703125" style="91" customWidth="1"/>
    <col min="3075" max="3329" width="9.140625" style="91"/>
    <col min="3330" max="3330" width="37.5703125" style="91" customWidth="1"/>
    <col min="3331" max="3585" width="9.140625" style="91"/>
    <col min="3586" max="3586" width="37.5703125" style="91" customWidth="1"/>
    <col min="3587" max="3841" width="9.140625" style="91"/>
    <col min="3842" max="3842" width="37.5703125" style="91" customWidth="1"/>
    <col min="3843" max="4097" width="9.140625" style="91"/>
    <col min="4098" max="4098" width="37.5703125" style="91" customWidth="1"/>
    <col min="4099" max="4353" width="9.140625" style="91"/>
    <col min="4354" max="4354" width="37.5703125" style="91" customWidth="1"/>
    <col min="4355" max="4609" width="9.140625" style="91"/>
    <col min="4610" max="4610" width="37.5703125" style="91" customWidth="1"/>
    <col min="4611" max="4865" width="9.140625" style="91"/>
    <col min="4866" max="4866" width="37.5703125" style="91" customWidth="1"/>
    <col min="4867" max="5121" width="9.140625" style="91"/>
    <col min="5122" max="5122" width="37.5703125" style="91" customWidth="1"/>
    <col min="5123" max="5377" width="9.140625" style="91"/>
    <col min="5378" max="5378" width="37.5703125" style="91" customWidth="1"/>
    <col min="5379" max="5633" width="9.140625" style="91"/>
    <col min="5634" max="5634" width="37.5703125" style="91" customWidth="1"/>
    <col min="5635" max="5889" width="9.140625" style="91"/>
    <col min="5890" max="5890" width="37.5703125" style="91" customWidth="1"/>
    <col min="5891" max="6145" width="9.140625" style="91"/>
    <col min="6146" max="6146" width="37.5703125" style="91" customWidth="1"/>
    <col min="6147" max="6401" width="9.140625" style="91"/>
    <col min="6402" max="6402" width="37.5703125" style="91" customWidth="1"/>
    <col min="6403" max="6657" width="9.140625" style="91"/>
    <col min="6658" max="6658" width="37.5703125" style="91" customWidth="1"/>
    <col min="6659" max="6913" width="9.140625" style="91"/>
    <col min="6914" max="6914" width="37.5703125" style="91" customWidth="1"/>
    <col min="6915" max="7169" width="9.140625" style="91"/>
    <col min="7170" max="7170" width="37.5703125" style="91" customWidth="1"/>
    <col min="7171" max="7425" width="9.140625" style="91"/>
    <col min="7426" max="7426" width="37.5703125" style="91" customWidth="1"/>
    <col min="7427" max="7681" width="9.140625" style="91"/>
    <col min="7682" max="7682" width="37.5703125" style="91" customWidth="1"/>
    <col min="7683" max="7937" width="9.140625" style="91"/>
    <col min="7938" max="7938" width="37.5703125" style="91" customWidth="1"/>
    <col min="7939" max="8193" width="9.140625" style="91"/>
    <col min="8194" max="8194" width="37.5703125" style="91" customWidth="1"/>
    <col min="8195" max="8449" width="9.140625" style="91"/>
    <col min="8450" max="8450" width="37.5703125" style="91" customWidth="1"/>
    <col min="8451" max="8705" width="9.140625" style="91"/>
    <col min="8706" max="8706" width="37.5703125" style="91" customWidth="1"/>
    <col min="8707" max="8961" width="9.140625" style="91"/>
    <col min="8962" max="8962" width="37.5703125" style="91" customWidth="1"/>
    <col min="8963" max="9217" width="9.140625" style="91"/>
    <col min="9218" max="9218" width="37.5703125" style="91" customWidth="1"/>
    <col min="9219" max="9473" width="9.140625" style="91"/>
    <col min="9474" max="9474" width="37.5703125" style="91" customWidth="1"/>
    <col min="9475" max="9729" width="9.140625" style="91"/>
    <col min="9730" max="9730" width="37.5703125" style="91" customWidth="1"/>
    <col min="9731" max="9985" width="9.140625" style="91"/>
    <col min="9986" max="9986" width="37.5703125" style="91" customWidth="1"/>
    <col min="9987" max="10241" width="9.140625" style="91"/>
    <col min="10242" max="10242" width="37.5703125" style="91" customWidth="1"/>
    <col min="10243" max="10497" width="9.140625" style="91"/>
    <col min="10498" max="10498" width="37.5703125" style="91" customWidth="1"/>
    <col min="10499" max="10753" width="9.140625" style="91"/>
    <col min="10754" max="10754" width="37.5703125" style="91" customWidth="1"/>
    <col min="10755" max="11009" width="9.140625" style="91"/>
    <col min="11010" max="11010" width="37.5703125" style="91" customWidth="1"/>
    <col min="11011" max="11265" width="9.140625" style="91"/>
    <col min="11266" max="11266" width="37.5703125" style="91" customWidth="1"/>
    <col min="11267" max="11521" width="9.140625" style="91"/>
    <col min="11522" max="11522" width="37.5703125" style="91" customWidth="1"/>
    <col min="11523" max="11777" width="9.140625" style="91"/>
    <col min="11778" max="11778" width="37.5703125" style="91" customWidth="1"/>
    <col min="11779" max="12033" width="9.140625" style="91"/>
    <col min="12034" max="12034" width="37.5703125" style="91" customWidth="1"/>
    <col min="12035" max="12289" width="9.140625" style="91"/>
    <col min="12290" max="12290" width="37.5703125" style="91" customWidth="1"/>
    <col min="12291" max="12545" width="9.140625" style="91"/>
    <col min="12546" max="12546" width="37.5703125" style="91" customWidth="1"/>
    <col min="12547" max="12801" width="9.140625" style="91"/>
    <col min="12802" max="12802" width="37.5703125" style="91" customWidth="1"/>
    <col min="12803" max="13057" width="9.140625" style="91"/>
    <col min="13058" max="13058" width="37.5703125" style="91" customWidth="1"/>
    <col min="13059" max="13313" width="9.140625" style="91"/>
    <col min="13314" max="13314" width="37.5703125" style="91" customWidth="1"/>
    <col min="13315" max="13569" width="9.140625" style="91"/>
    <col min="13570" max="13570" width="37.5703125" style="91" customWidth="1"/>
    <col min="13571" max="13825" width="9.140625" style="91"/>
    <col min="13826" max="13826" width="37.5703125" style="91" customWidth="1"/>
    <col min="13827" max="14081" width="9.140625" style="91"/>
    <col min="14082" max="14082" width="37.5703125" style="91" customWidth="1"/>
    <col min="14083" max="14337" width="9.140625" style="91"/>
    <col min="14338" max="14338" width="37.5703125" style="91" customWidth="1"/>
    <col min="14339" max="14593" width="9.140625" style="91"/>
    <col min="14594" max="14594" width="37.5703125" style="91" customWidth="1"/>
    <col min="14595" max="14849" width="9.140625" style="91"/>
    <col min="14850" max="14850" width="37.5703125" style="91" customWidth="1"/>
    <col min="14851" max="15105" width="9.140625" style="91"/>
    <col min="15106" max="15106" width="37.5703125" style="91" customWidth="1"/>
    <col min="15107" max="15361" width="9.140625" style="91"/>
    <col min="15362" max="15362" width="37.5703125" style="91" customWidth="1"/>
    <col min="15363" max="15617" width="9.140625" style="91"/>
    <col min="15618" max="15618" width="37.5703125" style="91" customWidth="1"/>
    <col min="15619" max="15873" width="9.140625" style="91"/>
    <col min="15874" max="15874" width="37.5703125" style="91" customWidth="1"/>
    <col min="15875" max="16129" width="9.140625" style="91"/>
    <col min="16130" max="16130" width="37.5703125" style="91" customWidth="1"/>
    <col min="16131" max="16384" width="9.140625" style="91"/>
  </cols>
  <sheetData>
    <row r="1" spans="1:14" s="56" customFormat="1" ht="23.25">
      <c r="A1" s="22" t="str">
        <f>IS!A1</f>
        <v>Colgate-Palmolive Company</v>
      </c>
      <c r="F1" s="58"/>
      <c r="G1" s="58"/>
      <c r="H1" s="57"/>
    </row>
    <row r="2" spans="1:14" s="23" customFormat="1" ht="14.25"/>
    <row r="3" spans="1:14" s="23" customFormat="1" ht="20.25">
      <c r="A3" s="1" t="s">
        <v>234</v>
      </c>
    </row>
    <row r="4" spans="1:14" s="23" customFormat="1" ht="14.25"/>
    <row r="5" spans="1:14" s="56" customFormat="1" ht="15.75" thickBot="1">
      <c r="B5" s="63"/>
      <c r="C5" s="62">
        <f>BS!C5</f>
        <v>39447</v>
      </c>
      <c r="D5" s="62">
        <f>BS!D5</f>
        <v>39813</v>
      </c>
      <c r="E5" s="62">
        <f>BS!E5</f>
        <v>40178</v>
      </c>
      <c r="F5" s="62">
        <f>BS!F5</f>
        <v>40543</v>
      </c>
      <c r="G5" s="62">
        <f>BS!G5</f>
        <v>40908</v>
      </c>
      <c r="H5" s="62">
        <f>BS!H5</f>
        <v>41274</v>
      </c>
      <c r="I5" s="62">
        <f>BS!I5</f>
        <v>41639</v>
      </c>
      <c r="J5" s="62">
        <f>BS!J5</f>
        <v>42004</v>
      </c>
      <c r="K5" s="62">
        <f>BS!K5</f>
        <v>42369</v>
      </c>
      <c r="L5" s="62">
        <f>BS!L5</f>
        <v>42735</v>
      </c>
      <c r="M5" s="62">
        <f>BS!M5</f>
        <v>43100</v>
      </c>
      <c r="N5" s="62">
        <f>BS!N5</f>
        <v>43465</v>
      </c>
    </row>
    <row r="6" spans="1:14">
      <c r="B6" s="23"/>
      <c r="C6" s="97"/>
      <c r="D6" s="136"/>
      <c r="E6" s="136"/>
      <c r="F6" s="136"/>
      <c r="G6" s="136"/>
      <c r="H6" s="136"/>
      <c r="I6" s="136"/>
      <c r="J6" s="136"/>
      <c r="K6" s="136"/>
      <c r="L6" s="136"/>
      <c r="M6" s="136"/>
      <c r="N6" s="136"/>
    </row>
    <row r="7" spans="1:14">
      <c r="A7" s="23" t="s">
        <v>21</v>
      </c>
      <c r="B7" s="23"/>
      <c r="C7" s="142"/>
      <c r="D7" s="253"/>
      <c r="E7" s="253"/>
      <c r="F7" s="253"/>
      <c r="G7" s="253"/>
      <c r="H7" s="253"/>
      <c r="I7" s="253"/>
      <c r="J7" s="253"/>
      <c r="K7" s="253"/>
      <c r="L7" s="253"/>
      <c r="M7" s="253"/>
      <c r="N7" s="253"/>
    </row>
    <row r="8" spans="1:14">
      <c r="A8" s="23"/>
      <c r="B8" s="3" t="s">
        <v>31</v>
      </c>
      <c r="C8" s="138">
        <f>BS!C17</f>
        <v>0</v>
      </c>
      <c r="D8" s="138">
        <f>BS!D17</f>
        <v>0</v>
      </c>
      <c r="E8" s="138">
        <f>BS!E17</f>
        <v>0</v>
      </c>
      <c r="F8" s="138">
        <f>[2]BS!F17</f>
        <v>84</v>
      </c>
      <c r="G8" s="138">
        <f>[2]BS!G17</f>
        <v>115</v>
      </c>
      <c r="H8" s="138">
        <f>[2]BS!H17</f>
        <v>92</v>
      </c>
      <c r="I8" s="138">
        <f>[2]BS!I17</f>
        <v>77</v>
      </c>
      <c r="J8" s="253">
        <f>I8</f>
        <v>77</v>
      </c>
      <c r="K8" s="253">
        <f t="shared" ref="K8:N8" si="0">J8</f>
        <v>77</v>
      </c>
      <c r="L8" s="253">
        <f t="shared" si="0"/>
        <v>77</v>
      </c>
      <c r="M8" s="253">
        <f t="shared" si="0"/>
        <v>77</v>
      </c>
      <c r="N8" s="253">
        <f t="shared" si="0"/>
        <v>77</v>
      </c>
    </row>
    <row r="9" spans="1:14">
      <c r="A9" s="23"/>
      <c r="B9" s="5" t="s">
        <v>32</v>
      </c>
      <c r="C9" s="138">
        <f>BS!C18</f>
        <v>361</v>
      </c>
      <c r="D9" s="138">
        <f>BS!D18</f>
        <v>164</v>
      </c>
      <c r="E9" s="138">
        <f>BS!E18</f>
        <v>685</v>
      </c>
      <c r="F9" s="138">
        <f>[2]BS!F18</f>
        <v>472</v>
      </c>
      <c r="G9" s="138">
        <f>[2]BS!G18</f>
        <v>541</v>
      </c>
      <c r="H9" s="138">
        <f>[2]BS!H18</f>
        <v>905</v>
      </c>
      <c r="I9" s="138">
        <f>[2]BS!I18</f>
        <v>924</v>
      </c>
      <c r="J9" s="253">
        <f t="shared" ref="J9:N9" si="1">I9</f>
        <v>924</v>
      </c>
      <c r="K9" s="253">
        <f t="shared" si="1"/>
        <v>924</v>
      </c>
      <c r="L9" s="253">
        <f t="shared" si="1"/>
        <v>924</v>
      </c>
      <c r="M9" s="253">
        <f t="shared" si="1"/>
        <v>924</v>
      </c>
      <c r="N9" s="253">
        <f t="shared" si="1"/>
        <v>924</v>
      </c>
    </row>
    <row r="10" spans="1:14">
      <c r="A10" s="23"/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</row>
    <row r="11" spans="1:14">
      <c r="A11" s="23" t="s">
        <v>235</v>
      </c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</row>
    <row r="12" spans="1:14">
      <c r="A12" s="23"/>
      <c r="B12" s="3" t="s">
        <v>31</v>
      </c>
      <c r="C12" s="269">
        <f>BS!C33</f>
        <v>264</v>
      </c>
      <c r="D12" s="269">
        <f>BS!D33</f>
        <v>82</v>
      </c>
      <c r="E12" s="269">
        <f>BS!E33</f>
        <v>82</v>
      </c>
      <c r="F12" s="269">
        <f>[2]BS!F33</f>
        <v>108</v>
      </c>
      <c r="G12" s="269">
        <f>[2]BS!G33</f>
        <v>252</v>
      </c>
      <c r="H12" s="269">
        <f>[2]BS!H33</f>
        <v>293</v>
      </c>
      <c r="I12" s="269">
        <f>[2]BS!I33</f>
        <v>444</v>
      </c>
      <c r="J12" s="253">
        <f t="shared" ref="J12:N13" si="2">I12</f>
        <v>444</v>
      </c>
      <c r="K12" s="253">
        <f t="shared" si="2"/>
        <v>444</v>
      </c>
      <c r="L12" s="253">
        <f t="shared" si="2"/>
        <v>444</v>
      </c>
      <c r="M12" s="253">
        <f t="shared" si="2"/>
        <v>444</v>
      </c>
      <c r="N12" s="253">
        <f t="shared" si="2"/>
        <v>444</v>
      </c>
    </row>
    <row r="13" spans="1:14">
      <c r="A13" s="23"/>
      <c r="B13" s="3" t="s">
        <v>43</v>
      </c>
      <c r="C13" s="269">
        <f>BS!C34</f>
        <v>1067</v>
      </c>
      <c r="D13" s="269">
        <f>BS!D34</f>
        <v>1316</v>
      </c>
      <c r="E13" s="269">
        <f>BS!E34</f>
        <v>1375</v>
      </c>
      <c r="F13" s="269">
        <f>[2]BS!F34</f>
        <v>1704</v>
      </c>
      <c r="G13" s="269">
        <f>[2]BS!G34</f>
        <v>1785</v>
      </c>
      <c r="H13" s="269">
        <f>[2]BS!H34</f>
        <v>2049</v>
      </c>
      <c r="I13" s="269">
        <f>[2]BS!I34</f>
        <v>1677</v>
      </c>
      <c r="J13" s="253">
        <f t="shared" si="2"/>
        <v>1677</v>
      </c>
      <c r="K13" s="253">
        <f t="shared" si="2"/>
        <v>1677</v>
      </c>
      <c r="L13" s="253">
        <f t="shared" si="2"/>
        <v>1677</v>
      </c>
      <c r="M13" s="253">
        <f t="shared" si="2"/>
        <v>1677</v>
      </c>
      <c r="N13" s="253">
        <f t="shared" si="2"/>
        <v>1677</v>
      </c>
    </row>
    <row r="14" spans="1:14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</row>
    <row r="15" spans="1:14"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</row>
    <row r="16" spans="1:14"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</row>
    <row r="17" spans="3:14"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</row>
    <row r="18" spans="3:14"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</row>
    <row r="19" spans="3:14"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</row>
    <row r="20" spans="3:14"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</row>
    <row r="21" spans="3:14"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</row>
    <row r="22" spans="3:14"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</row>
    <row r="23" spans="3:14"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</row>
    <row r="24" spans="3:14"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</row>
    <row r="25" spans="3:14"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</row>
    <row r="26" spans="3:14"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</row>
    <row r="27" spans="3:14"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</row>
    <row r="28" spans="3:14"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</row>
    <row r="29" spans="3:14"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</row>
    <row r="30" spans="3:14"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</row>
    <row r="31" spans="3:14"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</row>
    <row r="32" spans="3:14"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</row>
  </sheetData>
  <pageMargins left="0.7" right="0.7" top="0.75" bottom="0.75" header="0.3" footer="0.3"/>
  <pageSetup orientation="portrait" horizontalDpi="200" verticalDpi="20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O67"/>
  <sheetViews>
    <sheetView workbookViewId="0">
      <pane xSplit="2" ySplit="5" topLeftCell="F14" activePane="bottomRight" state="frozen"/>
      <selection pane="topRight" activeCell="C1" sqref="C1"/>
      <selection pane="bottomLeft" activeCell="A6" sqref="A6"/>
      <selection pane="bottomRight" activeCell="G30" sqref="G30:N32"/>
    </sheetView>
  </sheetViews>
  <sheetFormatPr defaultRowHeight="15"/>
  <cols>
    <col min="1" max="1" width="2.5703125" style="91" customWidth="1"/>
    <col min="2" max="2" width="43.28515625" style="91" customWidth="1"/>
    <col min="3" max="3" width="14.140625" style="91" hidden="1" customWidth="1"/>
    <col min="4" max="4" width="13.85546875" style="91" hidden="1" customWidth="1"/>
    <col min="5" max="5" width="10.42578125" style="91" hidden="1" customWidth="1"/>
    <col min="6" max="7" width="10" style="91" customWidth="1"/>
    <col min="8" max="8" width="10.5703125" style="91" customWidth="1"/>
    <col min="9" max="9" width="10.42578125" style="91" bestFit="1" customWidth="1"/>
    <col min="10" max="10" width="10.28515625" style="91" bestFit="1" customWidth="1"/>
    <col min="11" max="14" width="9.42578125" style="91" bestFit="1" customWidth="1"/>
    <col min="15" max="257" width="9.140625" style="91"/>
    <col min="258" max="258" width="37.5703125" style="91" customWidth="1"/>
    <col min="259" max="259" width="12.5703125" style="91" customWidth="1"/>
    <col min="260" max="268" width="13.42578125" style="91" customWidth="1"/>
    <col min="269" max="513" width="9.140625" style="91"/>
    <col min="514" max="514" width="37.5703125" style="91" customWidth="1"/>
    <col min="515" max="515" width="12.5703125" style="91" customWidth="1"/>
    <col min="516" max="524" width="13.42578125" style="91" customWidth="1"/>
    <col min="525" max="769" width="9.140625" style="91"/>
    <col min="770" max="770" width="37.5703125" style="91" customWidth="1"/>
    <col min="771" max="771" width="12.5703125" style="91" customWidth="1"/>
    <col min="772" max="780" width="13.42578125" style="91" customWidth="1"/>
    <col min="781" max="1025" width="9.140625" style="91"/>
    <col min="1026" max="1026" width="37.5703125" style="91" customWidth="1"/>
    <col min="1027" max="1027" width="12.5703125" style="91" customWidth="1"/>
    <col min="1028" max="1036" width="13.42578125" style="91" customWidth="1"/>
    <col min="1037" max="1281" width="9.140625" style="91"/>
    <col min="1282" max="1282" width="37.5703125" style="91" customWidth="1"/>
    <col min="1283" max="1283" width="12.5703125" style="91" customWidth="1"/>
    <col min="1284" max="1292" width="13.42578125" style="91" customWidth="1"/>
    <col min="1293" max="1537" width="9.140625" style="91"/>
    <col min="1538" max="1538" width="37.5703125" style="91" customWidth="1"/>
    <col min="1539" max="1539" width="12.5703125" style="91" customWidth="1"/>
    <col min="1540" max="1548" width="13.42578125" style="91" customWidth="1"/>
    <col min="1549" max="1793" width="9.140625" style="91"/>
    <col min="1794" max="1794" width="37.5703125" style="91" customWidth="1"/>
    <col min="1795" max="1795" width="12.5703125" style="91" customWidth="1"/>
    <col min="1796" max="1804" width="13.42578125" style="91" customWidth="1"/>
    <col min="1805" max="2049" width="9.140625" style="91"/>
    <col min="2050" max="2050" width="37.5703125" style="91" customWidth="1"/>
    <col min="2051" max="2051" width="12.5703125" style="91" customWidth="1"/>
    <col min="2052" max="2060" width="13.42578125" style="91" customWidth="1"/>
    <col min="2061" max="2305" width="9.140625" style="91"/>
    <col min="2306" max="2306" width="37.5703125" style="91" customWidth="1"/>
    <col min="2307" max="2307" width="12.5703125" style="91" customWidth="1"/>
    <col min="2308" max="2316" width="13.42578125" style="91" customWidth="1"/>
    <col min="2317" max="2561" width="9.140625" style="91"/>
    <col min="2562" max="2562" width="37.5703125" style="91" customWidth="1"/>
    <col min="2563" max="2563" width="12.5703125" style="91" customWidth="1"/>
    <col min="2564" max="2572" width="13.42578125" style="91" customWidth="1"/>
    <col min="2573" max="2817" width="9.140625" style="91"/>
    <col min="2818" max="2818" width="37.5703125" style="91" customWidth="1"/>
    <col min="2819" max="2819" width="12.5703125" style="91" customWidth="1"/>
    <col min="2820" max="2828" width="13.42578125" style="91" customWidth="1"/>
    <col min="2829" max="3073" width="9.140625" style="91"/>
    <col min="3074" max="3074" width="37.5703125" style="91" customWidth="1"/>
    <col min="3075" max="3075" width="12.5703125" style="91" customWidth="1"/>
    <col min="3076" max="3084" width="13.42578125" style="91" customWidth="1"/>
    <col min="3085" max="3329" width="9.140625" style="91"/>
    <col min="3330" max="3330" width="37.5703125" style="91" customWidth="1"/>
    <col min="3331" max="3331" width="12.5703125" style="91" customWidth="1"/>
    <col min="3332" max="3340" width="13.42578125" style="91" customWidth="1"/>
    <col min="3341" max="3585" width="9.140625" style="91"/>
    <col min="3586" max="3586" width="37.5703125" style="91" customWidth="1"/>
    <col min="3587" max="3587" width="12.5703125" style="91" customWidth="1"/>
    <col min="3588" max="3596" width="13.42578125" style="91" customWidth="1"/>
    <col min="3597" max="3841" width="9.140625" style="91"/>
    <col min="3842" max="3842" width="37.5703125" style="91" customWidth="1"/>
    <col min="3843" max="3843" width="12.5703125" style="91" customWidth="1"/>
    <col min="3844" max="3852" width="13.42578125" style="91" customWidth="1"/>
    <col min="3853" max="4097" width="9.140625" style="91"/>
    <col min="4098" max="4098" width="37.5703125" style="91" customWidth="1"/>
    <col min="4099" max="4099" width="12.5703125" style="91" customWidth="1"/>
    <col min="4100" max="4108" width="13.42578125" style="91" customWidth="1"/>
    <col min="4109" max="4353" width="9.140625" style="91"/>
    <col min="4354" max="4354" width="37.5703125" style="91" customWidth="1"/>
    <col min="4355" max="4355" width="12.5703125" style="91" customWidth="1"/>
    <col min="4356" max="4364" width="13.42578125" style="91" customWidth="1"/>
    <col min="4365" max="4609" width="9.140625" style="91"/>
    <col min="4610" max="4610" width="37.5703125" style="91" customWidth="1"/>
    <col min="4611" max="4611" width="12.5703125" style="91" customWidth="1"/>
    <col min="4612" max="4620" width="13.42578125" style="91" customWidth="1"/>
    <col min="4621" max="4865" width="9.140625" style="91"/>
    <col min="4866" max="4866" width="37.5703125" style="91" customWidth="1"/>
    <col min="4867" max="4867" width="12.5703125" style="91" customWidth="1"/>
    <col min="4868" max="4876" width="13.42578125" style="91" customWidth="1"/>
    <col min="4877" max="5121" width="9.140625" style="91"/>
    <col min="5122" max="5122" width="37.5703125" style="91" customWidth="1"/>
    <col min="5123" max="5123" width="12.5703125" style="91" customWidth="1"/>
    <col min="5124" max="5132" width="13.42578125" style="91" customWidth="1"/>
    <col min="5133" max="5377" width="9.140625" style="91"/>
    <col min="5378" max="5378" width="37.5703125" style="91" customWidth="1"/>
    <col min="5379" max="5379" width="12.5703125" style="91" customWidth="1"/>
    <col min="5380" max="5388" width="13.42578125" style="91" customWidth="1"/>
    <col min="5389" max="5633" width="9.140625" style="91"/>
    <col min="5634" max="5634" width="37.5703125" style="91" customWidth="1"/>
    <col min="5635" max="5635" width="12.5703125" style="91" customWidth="1"/>
    <col min="5636" max="5644" width="13.42578125" style="91" customWidth="1"/>
    <col min="5645" max="5889" width="9.140625" style="91"/>
    <col min="5890" max="5890" width="37.5703125" style="91" customWidth="1"/>
    <col min="5891" max="5891" width="12.5703125" style="91" customWidth="1"/>
    <col min="5892" max="5900" width="13.42578125" style="91" customWidth="1"/>
    <col min="5901" max="6145" width="9.140625" style="91"/>
    <col min="6146" max="6146" width="37.5703125" style="91" customWidth="1"/>
    <col min="6147" max="6147" width="12.5703125" style="91" customWidth="1"/>
    <col min="6148" max="6156" width="13.42578125" style="91" customWidth="1"/>
    <col min="6157" max="6401" width="9.140625" style="91"/>
    <col min="6402" max="6402" width="37.5703125" style="91" customWidth="1"/>
    <col min="6403" max="6403" width="12.5703125" style="91" customWidth="1"/>
    <col min="6404" max="6412" width="13.42578125" style="91" customWidth="1"/>
    <col min="6413" max="6657" width="9.140625" style="91"/>
    <col min="6658" max="6658" width="37.5703125" style="91" customWidth="1"/>
    <col min="6659" max="6659" width="12.5703125" style="91" customWidth="1"/>
    <col min="6660" max="6668" width="13.42578125" style="91" customWidth="1"/>
    <col min="6669" max="6913" width="9.140625" style="91"/>
    <col min="6914" max="6914" width="37.5703125" style="91" customWidth="1"/>
    <col min="6915" max="6915" width="12.5703125" style="91" customWidth="1"/>
    <col min="6916" max="6924" width="13.42578125" style="91" customWidth="1"/>
    <col min="6925" max="7169" width="9.140625" style="91"/>
    <col min="7170" max="7170" width="37.5703125" style="91" customWidth="1"/>
    <col min="7171" max="7171" width="12.5703125" style="91" customWidth="1"/>
    <col min="7172" max="7180" width="13.42578125" style="91" customWidth="1"/>
    <col min="7181" max="7425" width="9.140625" style="91"/>
    <col min="7426" max="7426" width="37.5703125" style="91" customWidth="1"/>
    <col min="7427" max="7427" width="12.5703125" style="91" customWidth="1"/>
    <col min="7428" max="7436" width="13.42578125" style="91" customWidth="1"/>
    <col min="7437" max="7681" width="9.140625" style="91"/>
    <col min="7682" max="7682" width="37.5703125" style="91" customWidth="1"/>
    <col min="7683" max="7683" width="12.5703125" style="91" customWidth="1"/>
    <col min="7684" max="7692" width="13.42578125" style="91" customWidth="1"/>
    <col min="7693" max="7937" width="9.140625" style="91"/>
    <col min="7938" max="7938" width="37.5703125" style="91" customWidth="1"/>
    <col min="7939" max="7939" width="12.5703125" style="91" customWidth="1"/>
    <col min="7940" max="7948" width="13.42578125" style="91" customWidth="1"/>
    <col min="7949" max="8193" width="9.140625" style="91"/>
    <col min="8194" max="8194" width="37.5703125" style="91" customWidth="1"/>
    <col min="8195" max="8195" width="12.5703125" style="91" customWidth="1"/>
    <col min="8196" max="8204" width="13.42578125" style="91" customWidth="1"/>
    <col min="8205" max="8449" width="9.140625" style="91"/>
    <col min="8450" max="8450" width="37.5703125" style="91" customWidth="1"/>
    <col min="8451" max="8451" width="12.5703125" style="91" customWidth="1"/>
    <col min="8452" max="8460" width="13.42578125" style="91" customWidth="1"/>
    <col min="8461" max="8705" width="9.140625" style="91"/>
    <col min="8706" max="8706" width="37.5703125" style="91" customWidth="1"/>
    <col min="8707" max="8707" width="12.5703125" style="91" customWidth="1"/>
    <col min="8708" max="8716" width="13.42578125" style="91" customWidth="1"/>
    <col min="8717" max="8961" width="9.140625" style="91"/>
    <col min="8962" max="8962" width="37.5703125" style="91" customWidth="1"/>
    <col min="8963" max="8963" width="12.5703125" style="91" customWidth="1"/>
    <col min="8964" max="8972" width="13.42578125" style="91" customWidth="1"/>
    <col min="8973" max="9217" width="9.140625" style="91"/>
    <col min="9218" max="9218" width="37.5703125" style="91" customWidth="1"/>
    <col min="9219" max="9219" width="12.5703125" style="91" customWidth="1"/>
    <col min="9220" max="9228" width="13.42578125" style="91" customWidth="1"/>
    <col min="9229" max="9473" width="9.140625" style="91"/>
    <col min="9474" max="9474" width="37.5703125" style="91" customWidth="1"/>
    <col min="9475" max="9475" width="12.5703125" style="91" customWidth="1"/>
    <col min="9476" max="9484" width="13.42578125" style="91" customWidth="1"/>
    <col min="9485" max="9729" width="9.140625" style="91"/>
    <col min="9730" max="9730" width="37.5703125" style="91" customWidth="1"/>
    <col min="9731" max="9731" width="12.5703125" style="91" customWidth="1"/>
    <col min="9732" max="9740" width="13.42578125" style="91" customWidth="1"/>
    <col min="9741" max="9985" width="9.140625" style="91"/>
    <col min="9986" max="9986" width="37.5703125" style="91" customWidth="1"/>
    <col min="9987" max="9987" width="12.5703125" style="91" customWidth="1"/>
    <col min="9988" max="9996" width="13.42578125" style="91" customWidth="1"/>
    <col min="9997" max="10241" width="9.140625" style="91"/>
    <col min="10242" max="10242" width="37.5703125" style="91" customWidth="1"/>
    <col min="10243" max="10243" width="12.5703125" style="91" customWidth="1"/>
    <col min="10244" max="10252" width="13.42578125" style="91" customWidth="1"/>
    <col min="10253" max="10497" width="9.140625" style="91"/>
    <col min="10498" max="10498" width="37.5703125" style="91" customWidth="1"/>
    <col min="10499" max="10499" width="12.5703125" style="91" customWidth="1"/>
    <col min="10500" max="10508" width="13.42578125" style="91" customWidth="1"/>
    <col min="10509" max="10753" width="9.140625" style="91"/>
    <col min="10754" max="10754" width="37.5703125" style="91" customWidth="1"/>
    <col min="10755" max="10755" width="12.5703125" style="91" customWidth="1"/>
    <col min="10756" max="10764" width="13.42578125" style="91" customWidth="1"/>
    <col min="10765" max="11009" width="9.140625" style="91"/>
    <col min="11010" max="11010" width="37.5703125" style="91" customWidth="1"/>
    <col min="11011" max="11011" width="12.5703125" style="91" customWidth="1"/>
    <col min="11012" max="11020" width="13.42578125" style="91" customWidth="1"/>
    <col min="11021" max="11265" width="9.140625" style="91"/>
    <col min="11266" max="11266" width="37.5703125" style="91" customWidth="1"/>
    <col min="11267" max="11267" width="12.5703125" style="91" customWidth="1"/>
    <col min="11268" max="11276" width="13.42578125" style="91" customWidth="1"/>
    <col min="11277" max="11521" width="9.140625" style="91"/>
    <col min="11522" max="11522" width="37.5703125" style="91" customWidth="1"/>
    <col min="11523" max="11523" width="12.5703125" style="91" customWidth="1"/>
    <col min="11524" max="11532" width="13.42578125" style="91" customWidth="1"/>
    <col min="11533" max="11777" width="9.140625" style="91"/>
    <col min="11778" max="11778" width="37.5703125" style="91" customWidth="1"/>
    <col min="11779" max="11779" width="12.5703125" style="91" customWidth="1"/>
    <col min="11780" max="11788" width="13.42578125" style="91" customWidth="1"/>
    <col min="11789" max="12033" width="9.140625" style="91"/>
    <col min="12034" max="12034" width="37.5703125" style="91" customWidth="1"/>
    <col min="12035" max="12035" width="12.5703125" style="91" customWidth="1"/>
    <col min="12036" max="12044" width="13.42578125" style="91" customWidth="1"/>
    <col min="12045" max="12289" width="9.140625" style="91"/>
    <col min="12290" max="12290" width="37.5703125" style="91" customWidth="1"/>
    <col min="12291" max="12291" width="12.5703125" style="91" customWidth="1"/>
    <col min="12292" max="12300" width="13.42578125" style="91" customWidth="1"/>
    <col min="12301" max="12545" width="9.140625" style="91"/>
    <col min="12546" max="12546" width="37.5703125" style="91" customWidth="1"/>
    <col min="12547" max="12547" width="12.5703125" style="91" customWidth="1"/>
    <col min="12548" max="12556" width="13.42578125" style="91" customWidth="1"/>
    <col min="12557" max="12801" width="9.140625" style="91"/>
    <col min="12802" max="12802" width="37.5703125" style="91" customWidth="1"/>
    <col min="12803" max="12803" width="12.5703125" style="91" customWidth="1"/>
    <col min="12804" max="12812" width="13.42578125" style="91" customWidth="1"/>
    <col min="12813" max="13057" width="9.140625" style="91"/>
    <col min="13058" max="13058" width="37.5703125" style="91" customWidth="1"/>
    <col min="13059" max="13059" width="12.5703125" style="91" customWidth="1"/>
    <col min="13060" max="13068" width="13.42578125" style="91" customWidth="1"/>
    <col min="13069" max="13313" width="9.140625" style="91"/>
    <col min="13314" max="13314" width="37.5703125" style="91" customWidth="1"/>
    <col min="13315" max="13315" width="12.5703125" style="91" customWidth="1"/>
    <col min="13316" max="13324" width="13.42578125" style="91" customWidth="1"/>
    <col min="13325" max="13569" width="9.140625" style="91"/>
    <col min="13570" max="13570" width="37.5703125" style="91" customWidth="1"/>
    <col min="13571" max="13571" width="12.5703125" style="91" customWidth="1"/>
    <col min="13572" max="13580" width="13.42578125" style="91" customWidth="1"/>
    <col min="13581" max="13825" width="9.140625" style="91"/>
    <col min="13826" max="13826" width="37.5703125" style="91" customWidth="1"/>
    <col min="13827" max="13827" width="12.5703125" style="91" customWidth="1"/>
    <col min="13828" max="13836" width="13.42578125" style="91" customWidth="1"/>
    <col min="13837" max="14081" width="9.140625" style="91"/>
    <col min="14082" max="14082" width="37.5703125" style="91" customWidth="1"/>
    <col min="14083" max="14083" width="12.5703125" style="91" customWidth="1"/>
    <col min="14084" max="14092" width="13.42578125" style="91" customWidth="1"/>
    <col min="14093" max="14337" width="9.140625" style="91"/>
    <col min="14338" max="14338" width="37.5703125" style="91" customWidth="1"/>
    <col min="14339" max="14339" width="12.5703125" style="91" customWidth="1"/>
    <col min="14340" max="14348" width="13.42578125" style="91" customWidth="1"/>
    <col min="14349" max="14593" width="9.140625" style="91"/>
    <col min="14594" max="14594" width="37.5703125" style="91" customWidth="1"/>
    <col min="14595" max="14595" width="12.5703125" style="91" customWidth="1"/>
    <col min="14596" max="14604" width="13.42578125" style="91" customWidth="1"/>
    <col min="14605" max="14849" width="9.140625" style="91"/>
    <col min="14850" max="14850" width="37.5703125" style="91" customWidth="1"/>
    <col min="14851" max="14851" width="12.5703125" style="91" customWidth="1"/>
    <col min="14852" max="14860" width="13.42578125" style="91" customWidth="1"/>
    <col min="14861" max="15105" width="9.140625" style="91"/>
    <col min="15106" max="15106" width="37.5703125" style="91" customWidth="1"/>
    <col min="15107" max="15107" width="12.5703125" style="91" customWidth="1"/>
    <col min="15108" max="15116" width="13.42578125" style="91" customWidth="1"/>
    <col min="15117" max="15361" width="9.140625" style="91"/>
    <col min="15362" max="15362" width="37.5703125" style="91" customWidth="1"/>
    <col min="15363" max="15363" width="12.5703125" style="91" customWidth="1"/>
    <col min="15364" max="15372" width="13.42578125" style="91" customWidth="1"/>
    <col min="15373" max="15617" width="9.140625" style="91"/>
    <col min="15618" max="15618" width="37.5703125" style="91" customWidth="1"/>
    <col min="15619" max="15619" width="12.5703125" style="91" customWidth="1"/>
    <col min="15620" max="15628" width="13.42578125" style="91" customWidth="1"/>
    <col min="15629" max="15873" width="9.140625" style="91"/>
    <col min="15874" max="15874" width="37.5703125" style="91" customWidth="1"/>
    <col min="15875" max="15875" width="12.5703125" style="91" customWidth="1"/>
    <col min="15876" max="15884" width="13.42578125" style="91" customWidth="1"/>
    <col min="15885" max="16129" width="9.140625" style="91"/>
    <col min="16130" max="16130" width="37.5703125" style="91" customWidth="1"/>
    <col min="16131" max="16131" width="12.5703125" style="91" customWidth="1"/>
    <col min="16132" max="16140" width="13.42578125" style="91" customWidth="1"/>
    <col min="16141" max="16384" width="9.140625" style="91"/>
  </cols>
  <sheetData>
    <row r="1" spans="1:14" s="56" customFormat="1" ht="23.25">
      <c r="A1" s="22" t="str">
        <f>IS!A1</f>
        <v>Colgate-Palmolive Company</v>
      </c>
      <c r="F1" s="58"/>
      <c r="G1" s="58"/>
      <c r="H1" s="57"/>
    </row>
    <row r="2" spans="1:14" s="23" customFormat="1" ht="14.25"/>
    <row r="3" spans="1:14" s="23" customFormat="1" ht="20.25">
      <c r="A3" s="1" t="s">
        <v>194</v>
      </c>
    </row>
    <row r="4" spans="1:14" s="23" customFormat="1" ht="14.25"/>
    <row r="5" spans="1:14" s="56" customFormat="1" ht="15.75" thickBot="1">
      <c r="B5" s="63"/>
      <c r="C5" s="62">
        <f>BS!C5</f>
        <v>39447</v>
      </c>
      <c r="D5" s="62">
        <f>BS!D5</f>
        <v>39813</v>
      </c>
      <c r="E5" s="62">
        <f>BS!E5</f>
        <v>40178</v>
      </c>
      <c r="F5" s="62">
        <f>BS!F5</f>
        <v>40543</v>
      </c>
      <c r="G5" s="62">
        <f>BS!G5</f>
        <v>40908</v>
      </c>
      <c r="H5" s="62">
        <f>BS!H5</f>
        <v>41274</v>
      </c>
      <c r="I5" s="62">
        <f>BS!I5</f>
        <v>41639</v>
      </c>
      <c r="J5" s="62">
        <f>BS!J5</f>
        <v>42004</v>
      </c>
      <c r="K5" s="62">
        <f>BS!K5</f>
        <v>42369</v>
      </c>
      <c r="L5" s="62">
        <f>BS!L5</f>
        <v>42735</v>
      </c>
      <c r="M5" s="62">
        <f>BS!M5</f>
        <v>43100</v>
      </c>
      <c r="N5" s="62">
        <f>BS!N5</f>
        <v>43465</v>
      </c>
    </row>
    <row r="6" spans="1:14">
      <c r="B6" s="23" t="s">
        <v>138</v>
      </c>
      <c r="C6" s="273"/>
      <c r="D6" s="273"/>
      <c r="E6" s="273"/>
      <c r="F6" s="273"/>
      <c r="G6" s="273"/>
      <c r="H6" s="273"/>
      <c r="I6" s="273"/>
      <c r="J6" s="284">
        <f>I11</f>
        <v>2305</v>
      </c>
      <c r="K6" s="284">
        <f t="shared" ref="K6:N6" si="0">J11</f>
        <v>2897.4072998604001</v>
      </c>
      <c r="L6" s="284">
        <f t="shared" si="0"/>
        <v>2497.3402359526222</v>
      </c>
      <c r="M6" s="284">
        <f t="shared" si="0"/>
        <v>2118.7056244006599</v>
      </c>
      <c r="N6" s="284">
        <f t="shared" si="0"/>
        <v>1765.2626459100513</v>
      </c>
    </row>
    <row r="7" spans="1:14">
      <c r="B7" s="23" t="s">
        <v>139</v>
      </c>
      <c r="C7" s="273"/>
      <c r="D7" s="273"/>
      <c r="E7" s="273"/>
      <c r="F7" s="273"/>
      <c r="G7" s="273"/>
      <c r="H7" s="273"/>
      <c r="I7" s="273"/>
      <c r="J7" s="285">
        <f>[2]IS!J19</f>
        <v>2395.7006663564453</v>
      </c>
      <c r="K7" s="285">
        <f>[2]IS!K19</f>
        <v>2444.2954135382724</v>
      </c>
      <c r="L7" s="285">
        <f>[2]IS!L19</f>
        <v>2491.9230854400857</v>
      </c>
      <c r="M7" s="285">
        <f>[2]IS!M19</f>
        <v>2547.9044922430935</v>
      </c>
      <c r="N7" s="285">
        <f>[2]IS!N19</f>
        <v>2597.7603624749272</v>
      </c>
    </row>
    <row r="8" spans="1:14">
      <c r="B8" s="23" t="s">
        <v>140</v>
      </c>
      <c r="C8" s="274"/>
      <c r="D8" s="274"/>
      <c r="E8" s="274"/>
      <c r="F8" s="274"/>
      <c r="G8" s="274"/>
      <c r="H8" s="274"/>
      <c r="I8" s="274"/>
      <c r="J8" s="154">
        <f>-J18</f>
        <v>-1500</v>
      </c>
      <c r="K8" s="154">
        <f t="shared" ref="K8:N8" si="1">-K18</f>
        <v>-1500</v>
      </c>
      <c r="L8" s="154">
        <f t="shared" si="1"/>
        <v>-1500</v>
      </c>
      <c r="M8" s="154">
        <f t="shared" si="1"/>
        <v>-1500</v>
      </c>
      <c r="N8" s="154">
        <f t="shared" si="1"/>
        <v>-1500</v>
      </c>
    </row>
    <row r="9" spans="1:14">
      <c r="B9" s="23" t="s">
        <v>141</v>
      </c>
      <c r="C9" s="274"/>
      <c r="D9" s="274"/>
      <c r="E9" s="274"/>
      <c r="F9" s="274"/>
      <c r="G9" s="274"/>
      <c r="H9" s="274"/>
      <c r="I9" s="274"/>
      <c r="J9" s="154">
        <f>-J30</f>
        <v>-1317.635366496045</v>
      </c>
      <c r="K9" s="154">
        <f t="shared" ref="K9:N9" si="2">-K30</f>
        <v>-1344.36247744605</v>
      </c>
      <c r="L9" s="154">
        <f t="shared" si="2"/>
        <v>-1370.5576969920473</v>
      </c>
      <c r="M9" s="154">
        <f t="shared" si="2"/>
        <v>-1401.3474707337016</v>
      </c>
      <c r="N9" s="154">
        <f t="shared" si="2"/>
        <v>-1428.76819936121</v>
      </c>
    </row>
    <row r="10" spans="1:14">
      <c r="B10" s="23" t="s">
        <v>142</v>
      </c>
      <c r="C10" s="274"/>
      <c r="D10" s="274"/>
      <c r="E10" s="274"/>
      <c r="F10" s="274"/>
      <c r="G10" s="274"/>
      <c r="H10" s="274"/>
      <c r="I10" s="274"/>
      <c r="J10" s="154">
        <f>J23</f>
        <v>1014.342</v>
      </c>
      <c r="K10" s="154">
        <f t="shared" ref="K10:N10" si="3">K23</f>
        <v>0</v>
      </c>
      <c r="L10" s="154">
        <f t="shared" si="3"/>
        <v>0</v>
      </c>
      <c r="M10" s="154">
        <f t="shared" si="3"/>
        <v>0</v>
      </c>
      <c r="N10" s="154">
        <f t="shared" si="3"/>
        <v>0</v>
      </c>
    </row>
    <row r="11" spans="1:14">
      <c r="B11" s="23" t="s">
        <v>143</v>
      </c>
      <c r="C11" s="154">
        <f>BS!C47</f>
        <v>2396</v>
      </c>
      <c r="D11" s="154">
        <f>BS!D47</f>
        <v>2044</v>
      </c>
      <c r="E11" s="154">
        <f>BS!E47</f>
        <v>3257</v>
      </c>
      <c r="F11" s="154">
        <f>[2]BS!F45</f>
        <v>2675</v>
      </c>
      <c r="G11" s="154">
        <f>[2]BS!G45</f>
        <v>2375</v>
      </c>
      <c r="H11" s="154">
        <f>[2]BS!H45</f>
        <v>2189</v>
      </c>
      <c r="I11" s="154">
        <f>[2]BS!I45</f>
        <v>2305</v>
      </c>
      <c r="J11" s="154">
        <f>SUM(J6:J10)</f>
        <v>2897.4072998604001</v>
      </c>
      <c r="K11" s="154">
        <f t="shared" ref="K11:N11" si="4">SUM(K6:K10)</f>
        <v>2497.3402359526222</v>
      </c>
      <c r="L11" s="154">
        <f t="shared" si="4"/>
        <v>2118.7056244006599</v>
      </c>
      <c r="M11" s="154">
        <f t="shared" si="4"/>
        <v>1765.2626459100513</v>
      </c>
      <c r="N11" s="154">
        <f t="shared" si="4"/>
        <v>1434.2548090237683</v>
      </c>
    </row>
    <row r="12" spans="1:14">
      <c r="B12" s="23"/>
      <c r="C12" s="157"/>
      <c r="D12" s="157"/>
      <c r="E12" s="157"/>
      <c r="F12" s="157"/>
      <c r="G12" s="157"/>
      <c r="H12" s="157"/>
      <c r="I12" s="157"/>
      <c r="J12" s="157"/>
      <c r="K12" s="157"/>
      <c r="L12" s="157"/>
      <c r="M12" s="155"/>
      <c r="N12" s="155"/>
    </row>
    <row r="13" spans="1:14">
      <c r="B13" s="92" t="s">
        <v>144</v>
      </c>
      <c r="C13" s="157"/>
      <c r="D13" s="157"/>
      <c r="E13" s="157"/>
      <c r="F13" s="157"/>
      <c r="G13" s="157"/>
      <c r="H13" s="157"/>
      <c r="I13" s="157"/>
      <c r="J13" s="157"/>
      <c r="K13" s="157"/>
      <c r="L13" s="157"/>
      <c r="M13" s="155"/>
      <c r="N13" s="155"/>
    </row>
    <row r="14" spans="1:14">
      <c r="B14" s="23" t="s">
        <v>145</v>
      </c>
      <c r="C14" s="272">
        <f>IS!C21</f>
        <v>1.6</v>
      </c>
      <c r="D14" s="272">
        <f>IS!D21</f>
        <v>1.83</v>
      </c>
      <c r="E14" s="272">
        <f>IS!E21</f>
        <v>2.1850000000000001</v>
      </c>
      <c r="F14" s="272">
        <f>[2]IS!F21</f>
        <v>2.1549999999999998</v>
      </c>
      <c r="G14" s="272">
        <f>[2]IS!G21</f>
        <v>2.4700000000000002</v>
      </c>
      <c r="H14" s="272">
        <f>[2]IS!H21</f>
        <v>2.57</v>
      </c>
      <c r="I14" s="272">
        <f>[2]IS!I21</f>
        <v>2.38</v>
      </c>
      <c r="J14" s="272">
        <f>[2]IS!J21</f>
        <v>2.6070150800388605</v>
      </c>
      <c r="K14" s="272">
        <f>[2]IS!K21</f>
        <v>2.7118992409627376</v>
      </c>
      <c r="L14" s="272">
        <f>[2]IS!L21</f>
        <v>2.8548403611757389</v>
      </c>
      <c r="M14" s="272">
        <f>[2]IS!M21</f>
        <v>3.0119078681345099</v>
      </c>
      <c r="N14" s="272">
        <f>[2]IS!N21</f>
        <v>3.1665637138120366</v>
      </c>
    </row>
    <row r="15" spans="1:14">
      <c r="B15" s="23" t="s">
        <v>146</v>
      </c>
      <c r="C15" s="157"/>
      <c r="D15" s="157"/>
      <c r="E15" s="157"/>
      <c r="F15" s="275"/>
      <c r="G15" s="288">
        <f>G16/G14</f>
        <v>17.146857179929292</v>
      </c>
      <c r="H15" s="288">
        <f t="shared" ref="H15:I15" si="5">H16/H14</f>
        <v>19.520252445460809</v>
      </c>
      <c r="I15" s="288">
        <f t="shared" si="5"/>
        <v>24.989938937217289</v>
      </c>
      <c r="J15" s="289">
        <v>19</v>
      </c>
      <c r="K15" s="289">
        <v>19</v>
      </c>
      <c r="L15" s="289">
        <v>19</v>
      </c>
      <c r="M15" s="289">
        <v>19</v>
      </c>
      <c r="N15" s="289">
        <v>19</v>
      </c>
    </row>
    <row r="16" spans="1:14">
      <c r="B16" s="23" t="s">
        <v>236</v>
      </c>
      <c r="C16" s="276"/>
      <c r="D16" s="276"/>
      <c r="E16" s="276"/>
      <c r="F16" s="11"/>
      <c r="G16" s="11">
        <f>G18/G17</f>
        <v>42.352737234425355</v>
      </c>
      <c r="H16" s="11">
        <f t="shared" ref="H16:I16" si="6">H18/H17</f>
        <v>50.167048784834279</v>
      </c>
      <c r="I16" s="11">
        <f t="shared" si="6"/>
        <v>59.476054670577149</v>
      </c>
      <c r="J16" s="11">
        <f>J15*J14</f>
        <v>49.533286520738351</v>
      </c>
      <c r="K16" s="11">
        <f t="shared" ref="K16:N16" si="7">K15*K14</f>
        <v>51.526085578292012</v>
      </c>
      <c r="L16" s="11">
        <f t="shared" si="7"/>
        <v>54.241966862339041</v>
      </c>
      <c r="M16" s="11">
        <f t="shared" si="7"/>
        <v>57.226249494555688</v>
      </c>
      <c r="N16" s="11">
        <f t="shared" si="7"/>
        <v>60.164710562428695</v>
      </c>
    </row>
    <row r="17" spans="2:15">
      <c r="B17" s="23" t="s">
        <v>147</v>
      </c>
      <c r="C17" s="277"/>
      <c r="D17" s="277"/>
      <c r="E17" s="277"/>
      <c r="F17" s="278"/>
      <c r="G17" s="287">
        <v>42.641871999999999</v>
      </c>
      <c r="H17" s="287">
        <v>38.730601999999998</v>
      </c>
      <c r="I17" s="287">
        <v>25.573316999999999</v>
      </c>
      <c r="J17" s="290">
        <f>J18/J16</f>
        <v>30.282666573557307</v>
      </c>
      <c r="K17" s="290">
        <f t="shared" ref="K17:N17" si="8">K18/K16</f>
        <v>29.111468165397593</v>
      </c>
      <c r="L17" s="290">
        <f t="shared" si="8"/>
        <v>27.653864466361583</v>
      </c>
      <c r="M17" s="290">
        <f t="shared" si="8"/>
        <v>26.211747462896462</v>
      </c>
      <c r="N17" s="290">
        <f t="shared" si="8"/>
        <v>24.931558483000686</v>
      </c>
    </row>
    <row r="18" spans="2:15">
      <c r="B18" s="23" t="s">
        <v>148</v>
      </c>
      <c r="C18" s="280"/>
      <c r="D18" s="280"/>
      <c r="E18" s="280"/>
      <c r="F18" s="281">
        <f>-[2]CF!F40</f>
        <v>2020</v>
      </c>
      <c r="G18" s="281">
        <f>-[2]CF!G40</f>
        <v>1806</v>
      </c>
      <c r="H18" s="281">
        <f>-[2]CF!H40</f>
        <v>1943</v>
      </c>
      <c r="I18" s="281">
        <f>-[2]CF!I40</f>
        <v>1521</v>
      </c>
      <c r="J18" s="291">
        <v>1500</v>
      </c>
      <c r="K18" s="291">
        <v>1500</v>
      </c>
      <c r="L18" s="291">
        <v>1500</v>
      </c>
      <c r="M18" s="291">
        <v>1500</v>
      </c>
      <c r="N18" s="291">
        <v>1500</v>
      </c>
      <c r="O18"/>
    </row>
    <row r="19" spans="2:15">
      <c r="B19" s="23"/>
      <c r="C19" s="157"/>
      <c r="D19" s="157"/>
      <c r="E19" s="157"/>
      <c r="F19" s="279"/>
      <c r="G19" s="279"/>
      <c r="H19" s="279"/>
      <c r="I19" s="279"/>
      <c r="J19" s="279"/>
      <c r="K19" s="279"/>
      <c r="L19" s="279"/>
      <c r="M19" s="286"/>
      <c r="N19" s="286"/>
    </row>
    <row r="20" spans="2:15">
      <c r="B20" s="92" t="s">
        <v>149</v>
      </c>
      <c r="C20" s="157"/>
      <c r="D20" s="157"/>
      <c r="E20" s="157"/>
      <c r="F20" s="279"/>
      <c r="G20" s="279"/>
      <c r="H20" s="279"/>
      <c r="I20" s="279"/>
      <c r="J20" s="279"/>
      <c r="K20" s="279"/>
      <c r="L20" s="279"/>
      <c r="M20" s="286"/>
      <c r="N20" s="286"/>
    </row>
    <row r="21" spans="2:15">
      <c r="B21" s="23" t="s">
        <v>150</v>
      </c>
      <c r="C21" s="282"/>
      <c r="D21" s="282"/>
      <c r="E21" s="282"/>
      <c r="F21" s="275"/>
      <c r="G21" s="270">
        <v>11.517758000000001</v>
      </c>
      <c r="H21" s="270">
        <v>12.217230000000001</v>
      </c>
      <c r="I21" s="270">
        <v>7.8838340000000002</v>
      </c>
      <c r="J21" s="270">
        <v>24.151</v>
      </c>
      <c r="K21" s="294"/>
      <c r="L21" s="294"/>
      <c r="M21" s="295"/>
      <c r="N21" s="295"/>
    </row>
    <row r="22" spans="2:15">
      <c r="B22" s="23" t="s">
        <v>151</v>
      </c>
      <c r="C22" s="276"/>
      <c r="D22" s="276"/>
      <c r="E22" s="276"/>
      <c r="F22" s="283"/>
      <c r="G22" s="292">
        <f>G23/G21</f>
        <v>30.648325828689924</v>
      </c>
      <c r="H22" s="292">
        <f>H23/H21</f>
        <v>39.125071722477188</v>
      </c>
      <c r="I22" s="292">
        <f>I23/I21</f>
        <v>42.999383294980589</v>
      </c>
      <c r="J22" s="297">
        <v>42</v>
      </c>
      <c r="K22" s="296"/>
      <c r="L22" s="296"/>
      <c r="M22" s="295"/>
      <c r="N22" s="295"/>
    </row>
    <row r="23" spans="2:15">
      <c r="B23" s="23" t="s">
        <v>142</v>
      </c>
      <c r="C23" s="280"/>
      <c r="D23" s="280"/>
      <c r="E23" s="280"/>
      <c r="F23" s="281">
        <f>[2]CF!F41</f>
        <v>242</v>
      </c>
      <c r="G23" s="281">
        <f>[2]CF!G41</f>
        <v>353</v>
      </c>
      <c r="H23" s="281">
        <f>[2]CF!H41</f>
        <v>478</v>
      </c>
      <c r="I23" s="281">
        <f>[2]CF!I41</f>
        <v>339</v>
      </c>
      <c r="J23" s="292">
        <f>J22*J21</f>
        <v>1014.342</v>
      </c>
      <c r="K23" s="296"/>
      <c r="L23" s="296"/>
      <c r="M23" s="295"/>
      <c r="N23" s="295"/>
    </row>
    <row r="24" spans="2:15">
      <c r="B24" s="23"/>
      <c r="C24" s="157"/>
      <c r="D24" s="157"/>
      <c r="E24" s="157"/>
      <c r="F24" s="279"/>
      <c r="G24" s="279"/>
      <c r="H24" s="279"/>
      <c r="I24" s="279"/>
      <c r="J24" s="279"/>
      <c r="K24" s="279"/>
      <c r="L24" s="279"/>
      <c r="M24" s="286"/>
      <c r="N24" s="286"/>
    </row>
    <row r="25" spans="2:15">
      <c r="B25" s="23" t="s">
        <v>226</v>
      </c>
      <c r="C25" s="157"/>
      <c r="D25" s="157"/>
      <c r="E25" s="157"/>
      <c r="F25" s="279"/>
      <c r="G25" s="293">
        <v>1.45933</v>
      </c>
      <c r="H25" s="293">
        <v>2.2058979999999999</v>
      </c>
      <c r="I25" s="293">
        <v>1.9073819999999999</v>
      </c>
      <c r="J25" s="298">
        <f>4.539/2.2</f>
        <v>2.063181818181818</v>
      </c>
      <c r="K25" s="298">
        <f>4.539/2.2</f>
        <v>2.063181818181818</v>
      </c>
      <c r="L25" s="298">
        <v>2</v>
      </c>
      <c r="M25" s="298">
        <v>2</v>
      </c>
      <c r="N25" s="298">
        <v>2</v>
      </c>
    </row>
    <row r="26" spans="2:15">
      <c r="B26" s="23"/>
      <c r="C26" s="157"/>
      <c r="D26" s="157"/>
      <c r="E26" s="157"/>
      <c r="F26" s="157"/>
      <c r="G26" s="157"/>
      <c r="H26" s="157"/>
      <c r="I26" s="157"/>
      <c r="J26" s="157"/>
      <c r="K26" s="157"/>
      <c r="L26" s="157"/>
      <c r="M26" s="155"/>
      <c r="N26" s="155"/>
    </row>
    <row r="27" spans="2:15" s="302" customFormat="1" hidden="1">
      <c r="B27" s="299"/>
      <c r="C27" s="300"/>
      <c r="D27" s="300"/>
      <c r="E27" s="300"/>
      <c r="F27" s="300"/>
      <c r="G27" s="300"/>
      <c r="H27" s="300"/>
      <c r="I27" s="300"/>
      <c r="J27" s="300"/>
      <c r="K27" s="300"/>
      <c r="L27" s="300"/>
      <c r="M27" s="301"/>
      <c r="N27" s="301"/>
    </row>
    <row r="28" spans="2:15" s="302" customFormat="1" hidden="1">
      <c r="B28" s="299"/>
      <c r="C28" s="300"/>
      <c r="D28" s="300"/>
      <c r="E28" s="300"/>
      <c r="F28" s="300"/>
      <c r="G28" s="300"/>
      <c r="H28" s="300"/>
      <c r="I28" s="300"/>
      <c r="J28" s="300"/>
      <c r="K28" s="300"/>
      <c r="L28" s="300"/>
      <c r="M28" s="301"/>
      <c r="N28" s="301"/>
    </row>
    <row r="29" spans="2:15">
      <c r="B29" s="92" t="s">
        <v>152</v>
      </c>
      <c r="C29" s="157"/>
      <c r="D29" s="157"/>
      <c r="E29" s="157"/>
      <c r="F29" s="157"/>
      <c r="G29" s="157"/>
      <c r="H29" s="157"/>
      <c r="I29" s="157"/>
      <c r="J29" s="157"/>
      <c r="K29" s="157"/>
      <c r="L29" s="157"/>
      <c r="M29" s="155"/>
      <c r="N29" s="155"/>
    </row>
    <row r="30" spans="2:15">
      <c r="B30" s="23" t="s">
        <v>153</v>
      </c>
      <c r="C30" s="277"/>
      <c r="D30" s="277"/>
      <c r="E30" s="277"/>
      <c r="F30" s="157"/>
      <c r="G30" s="270">
        <v>1203</v>
      </c>
      <c r="H30" s="270">
        <v>1277</v>
      </c>
      <c r="I30" s="270">
        <v>1382</v>
      </c>
      <c r="J30" s="157">
        <f>J32*J31</f>
        <v>1317.635366496045</v>
      </c>
      <c r="K30" s="157">
        <f t="shared" ref="K30:N30" si="9">K32*K31</f>
        <v>1344.36247744605</v>
      </c>
      <c r="L30" s="157">
        <f t="shared" si="9"/>
        <v>1370.5576969920473</v>
      </c>
      <c r="M30" s="157">
        <f t="shared" si="9"/>
        <v>1401.3474707337016</v>
      </c>
      <c r="N30" s="157">
        <f t="shared" si="9"/>
        <v>1428.76819936121</v>
      </c>
    </row>
    <row r="31" spans="2:15">
      <c r="B31" s="23" t="s">
        <v>139</v>
      </c>
      <c r="C31" s="154"/>
      <c r="D31" s="154"/>
      <c r="E31" s="154"/>
      <c r="F31" s="154"/>
      <c r="G31" s="154">
        <f>[2]IS!G19</f>
        <v>2431</v>
      </c>
      <c r="H31" s="154">
        <f>[2]IS!H19</f>
        <v>2472</v>
      </c>
      <c r="I31" s="154">
        <f>[2]IS!I19</f>
        <v>2241</v>
      </c>
      <c r="J31" s="154">
        <f>[2]IS!J19</f>
        <v>2395.7006663564453</v>
      </c>
      <c r="K31" s="154">
        <f>[2]IS!K19</f>
        <v>2444.2954135382724</v>
      </c>
      <c r="L31" s="154">
        <f>[2]IS!L19</f>
        <v>2491.9230854400857</v>
      </c>
      <c r="M31" s="154">
        <f>[2]IS!M19</f>
        <v>2547.9044922430935</v>
      </c>
      <c r="N31" s="154">
        <f>[2]IS!N19</f>
        <v>2597.7603624749272</v>
      </c>
    </row>
    <row r="32" spans="2:15">
      <c r="B32" s="23" t="s">
        <v>154</v>
      </c>
      <c r="C32" s="157"/>
      <c r="D32" s="157"/>
      <c r="E32" s="157"/>
      <c r="F32" s="282"/>
      <c r="G32" s="145">
        <f>G30/G31</f>
        <v>0.4948580830933772</v>
      </c>
      <c r="H32" s="145">
        <f>H30/H31</f>
        <v>0.51658576051779936</v>
      </c>
      <c r="I32" s="145">
        <f>I30/I31</f>
        <v>0.61668897813476131</v>
      </c>
      <c r="J32" s="198">
        <v>0.55000000000000004</v>
      </c>
      <c r="K32" s="198">
        <v>0.55000000000000004</v>
      </c>
      <c r="L32" s="198">
        <v>0.55000000000000004</v>
      </c>
      <c r="M32" s="198">
        <v>0.55000000000000004</v>
      </c>
      <c r="N32" s="198">
        <v>0.55000000000000004</v>
      </c>
    </row>
    <row r="34" spans="2:5">
      <c r="E34" t="s">
        <v>155</v>
      </c>
    </row>
    <row r="47" spans="2:5">
      <c r="B47" s="228" t="s">
        <v>214</v>
      </c>
    </row>
    <row r="50" spans="2:4">
      <c r="B50" s="176" t="s">
        <v>215</v>
      </c>
      <c r="C50" s="176" t="s">
        <v>216</v>
      </c>
      <c r="D50" s="177"/>
    </row>
    <row r="51" spans="2:4">
      <c r="B51" s="176" t="s">
        <v>215</v>
      </c>
      <c r="C51" s="176" t="s">
        <v>217</v>
      </c>
      <c r="D51" s="176" t="s">
        <v>218</v>
      </c>
    </row>
    <row r="52" spans="2:4">
      <c r="B52" s="176" t="s">
        <v>219</v>
      </c>
      <c r="C52" s="229">
        <v>989700934</v>
      </c>
      <c r="D52" s="229">
        <v>476005426</v>
      </c>
    </row>
    <row r="53" spans="2:4">
      <c r="B53" s="177"/>
      <c r="C53" s="177"/>
      <c r="D53" s="177"/>
    </row>
    <row r="54" spans="2:4">
      <c r="B54" s="176" t="s">
        <v>220</v>
      </c>
      <c r="C54" s="229">
        <v>-42641872</v>
      </c>
      <c r="D54" s="229">
        <v>42641872</v>
      </c>
    </row>
    <row r="55" spans="2:4">
      <c r="B55" s="176" t="s">
        <v>221</v>
      </c>
      <c r="C55" s="229">
        <v>11517758</v>
      </c>
      <c r="D55" s="229">
        <v>-11517758</v>
      </c>
    </row>
    <row r="56" spans="2:4">
      <c r="B56" s="176" t="s">
        <v>222</v>
      </c>
      <c r="C56" s="229">
        <v>1459330</v>
      </c>
      <c r="D56" s="229">
        <v>-1459330</v>
      </c>
    </row>
    <row r="57" spans="2:4">
      <c r="B57" s="179" t="s">
        <v>223</v>
      </c>
      <c r="C57" s="230">
        <f>SUM(C52:C56)</f>
        <v>960036150</v>
      </c>
      <c r="D57" s="230">
        <f>SUM(D52:D56)</f>
        <v>505670210</v>
      </c>
    </row>
    <row r="58" spans="2:4">
      <c r="B58" s="177"/>
      <c r="C58" s="177"/>
      <c r="D58" s="177"/>
    </row>
    <row r="59" spans="2:4">
      <c r="B59" s="176" t="s">
        <v>220</v>
      </c>
      <c r="C59" s="229">
        <v>-38730602</v>
      </c>
      <c r="D59" s="229">
        <v>38730602</v>
      </c>
    </row>
    <row r="60" spans="2:4">
      <c r="B60" s="176" t="s">
        <v>221</v>
      </c>
      <c r="C60" s="229">
        <v>12217230</v>
      </c>
      <c r="D60" s="229">
        <v>-12217230</v>
      </c>
    </row>
    <row r="61" spans="2:4">
      <c r="B61" s="176" t="s">
        <v>222</v>
      </c>
      <c r="C61" s="229">
        <v>2205898</v>
      </c>
      <c r="D61" s="229">
        <v>-2205898</v>
      </c>
    </row>
    <row r="62" spans="2:4">
      <c r="B62" s="179" t="s">
        <v>224</v>
      </c>
      <c r="C62" s="230">
        <f>SUM(C57:C61)</f>
        <v>935728676</v>
      </c>
      <c r="D62" s="230">
        <v>529977684</v>
      </c>
    </row>
    <row r="63" spans="2:4">
      <c r="B63" s="177"/>
      <c r="C63" s="177"/>
      <c r="D63" s="177"/>
    </row>
    <row r="64" spans="2:4">
      <c r="B64" s="176" t="s">
        <v>220</v>
      </c>
      <c r="C64" s="229">
        <v>-25573317</v>
      </c>
      <c r="D64" s="229">
        <v>25573317</v>
      </c>
    </row>
    <row r="65" spans="2:4">
      <c r="B65" s="176" t="s">
        <v>221</v>
      </c>
      <c r="C65" s="229">
        <v>7883834</v>
      </c>
      <c r="D65" s="229">
        <v>-7883834</v>
      </c>
    </row>
    <row r="66" spans="2:4">
      <c r="B66" s="176" t="s">
        <v>222</v>
      </c>
      <c r="C66" s="229">
        <v>1907382</v>
      </c>
      <c r="D66" s="229">
        <v>-1907382</v>
      </c>
    </row>
    <row r="67" spans="2:4">
      <c r="B67" s="179" t="s">
        <v>225</v>
      </c>
      <c r="C67" s="230">
        <f>SUM(C62:C66)</f>
        <v>919946575</v>
      </c>
      <c r="D67" s="230">
        <v>545759785</v>
      </c>
    </row>
  </sheetData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N14"/>
  <sheetViews>
    <sheetView zoomScale="115" zoomScaleNormal="115" workbookViewId="0">
      <selection activeCell="J7" sqref="J7"/>
    </sheetView>
  </sheetViews>
  <sheetFormatPr defaultRowHeight="15"/>
  <cols>
    <col min="1" max="1" width="3" style="91" customWidth="1"/>
    <col min="2" max="2" width="41.28515625" style="91" customWidth="1"/>
    <col min="3" max="5" width="0" style="91" hidden="1" customWidth="1"/>
    <col min="6" max="6" width="9.28515625" style="91" bestFit="1" customWidth="1"/>
    <col min="7" max="10" width="10" style="91" bestFit="1" customWidth="1"/>
    <col min="11" max="257" width="9.140625" style="91"/>
    <col min="258" max="258" width="37.5703125" style="91" customWidth="1"/>
    <col min="259" max="513" width="9.140625" style="91"/>
    <col min="514" max="514" width="37.5703125" style="91" customWidth="1"/>
    <col min="515" max="769" width="9.140625" style="91"/>
    <col min="770" max="770" width="37.5703125" style="91" customWidth="1"/>
    <col min="771" max="1025" width="9.140625" style="91"/>
    <col min="1026" max="1026" width="37.5703125" style="91" customWidth="1"/>
    <col min="1027" max="1281" width="9.140625" style="91"/>
    <col min="1282" max="1282" width="37.5703125" style="91" customWidth="1"/>
    <col min="1283" max="1537" width="9.140625" style="91"/>
    <col min="1538" max="1538" width="37.5703125" style="91" customWidth="1"/>
    <col min="1539" max="1793" width="9.140625" style="91"/>
    <col min="1794" max="1794" width="37.5703125" style="91" customWidth="1"/>
    <col min="1795" max="2049" width="9.140625" style="91"/>
    <col min="2050" max="2050" width="37.5703125" style="91" customWidth="1"/>
    <col min="2051" max="2305" width="9.140625" style="91"/>
    <col min="2306" max="2306" width="37.5703125" style="91" customWidth="1"/>
    <col min="2307" max="2561" width="9.140625" style="91"/>
    <col min="2562" max="2562" width="37.5703125" style="91" customWidth="1"/>
    <col min="2563" max="2817" width="9.140625" style="91"/>
    <col min="2818" max="2818" width="37.5703125" style="91" customWidth="1"/>
    <col min="2819" max="3073" width="9.140625" style="91"/>
    <col min="3074" max="3074" width="37.5703125" style="91" customWidth="1"/>
    <col min="3075" max="3329" width="9.140625" style="91"/>
    <col min="3330" max="3330" width="37.5703125" style="91" customWidth="1"/>
    <col min="3331" max="3585" width="9.140625" style="91"/>
    <col min="3586" max="3586" width="37.5703125" style="91" customWidth="1"/>
    <col min="3587" max="3841" width="9.140625" style="91"/>
    <col min="3842" max="3842" width="37.5703125" style="91" customWidth="1"/>
    <col min="3843" max="4097" width="9.140625" style="91"/>
    <col min="4098" max="4098" width="37.5703125" style="91" customWidth="1"/>
    <col min="4099" max="4353" width="9.140625" style="91"/>
    <col min="4354" max="4354" width="37.5703125" style="91" customWidth="1"/>
    <col min="4355" max="4609" width="9.140625" style="91"/>
    <col min="4610" max="4610" width="37.5703125" style="91" customWidth="1"/>
    <col min="4611" max="4865" width="9.140625" style="91"/>
    <col min="4866" max="4866" width="37.5703125" style="91" customWidth="1"/>
    <col min="4867" max="5121" width="9.140625" style="91"/>
    <col min="5122" max="5122" width="37.5703125" style="91" customWidth="1"/>
    <col min="5123" max="5377" width="9.140625" style="91"/>
    <col min="5378" max="5378" width="37.5703125" style="91" customWidth="1"/>
    <col min="5379" max="5633" width="9.140625" style="91"/>
    <col min="5634" max="5634" width="37.5703125" style="91" customWidth="1"/>
    <col min="5635" max="5889" width="9.140625" style="91"/>
    <col min="5890" max="5890" width="37.5703125" style="91" customWidth="1"/>
    <col min="5891" max="6145" width="9.140625" style="91"/>
    <col min="6146" max="6146" width="37.5703125" style="91" customWidth="1"/>
    <col min="6147" max="6401" width="9.140625" style="91"/>
    <col min="6402" max="6402" width="37.5703125" style="91" customWidth="1"/>
    <col min="6403" max="6657" width="9.140625" style="91"/>
    <col min="6658" max="6658" width="37.5703125" style="91" customWidth="1"/>
    <col min="6659" max="6913" width="9.140625" style="91"/>
    <col min="6914" max="6914" width="37.5703125" style="91" customWidth="1"/>
    <col min="6915" max="7169" width="9.140625" style="91"/>
    <col min="7170" max="7170" width="37.5703125" style="91" customWidth="1"/>
    <col min="7171" max="7425" width="9.140625" style="91"/>
    <col min="7426" max="7426" width="37.5703125" style="91" customWidth="1"/>
    <col min="7427" max="7681" width="9.140625" style="91"/>
    <col min="7682" max="7682" width="37.5703125" style="91" customWidth="1"/>
    <col min="7683" max="7937" width="9.140625" style="91"/>
    <col min="7938" max="7938" width="37.5703125" style="91" customWidth="1"/>
    <col min="7939" max="8193" width="9.140625" style="91"/>
    <col min="8194" max="8194" width="37.5703125" style="91" customWidth="1"/>
    <col min="8195" max="8449" width="9.140625" style="91"/>
    <col min="8450" max="8450" width="37.5703125" style="91" customWidth="1"/>
    <col min="8451" max="8705" width="9.140625" style="91"/>
    <col min="8706" max="8706" width="37.5703125" style="91" customWidth="1"/>
    <col min="8707" max="8961" width="9.140625" style="91"/>
    <col min="8962" max="8962" width="37.5703125" style="91" customWidth="1"/>
    <col min="8963" max="9217" width="9.140625" style="91"/>
    <col min="9218" max="9218" width="37.5703125" style="91" customWidth="1"/>
    <col min="9219" max="9473" width="9.140625" style="91"/>
    <col min="9474" max="9474" width="37.5703125" style="91" customWidth="1"/>
    <col min="9475" max="9729" width="9.140625" style="91"/>
    <col min="9730" max="9730" width="37.5703125" style="91" customWidth="1"/>
    <col min="9731" max="9985" width="9.140625" style="91"/>
    <col min="9986" max="9986" width="37.5703125" style="91" customWidth="1"/>
    <col min="9987" max="10241" width="9.140625" style="91"/>
    <col min="10242" max="10242" width="37.5703125" style="91" customWidth="1"/>
    <col min="10243" max="10497" width="9.140625" style="91"/>
    <col min="10498" max="10498" width="37.5703125" style="91" customWidth="1"/>
    <col min="10499" max="10753" width="9.140625" style="91"/>
    <col min="10754" max="10754" width="37.5703125" style="91" customWidth="1"/>
    <col min="10755" max="11009" width="9.140625" style="91"/>
    <col min="11010" max="11010" width="37.5703125" style="91" customWidth="1"/>
    <col min="11011" max="11265" width="9.140625" style="91"/>
    <col min="11266" max="11266" width="37.5703125" style="91" customWidth="1"/>
    <col min="11267" max="11521" width="9.140625" style="91"/>
    <col min="11522" max="11522" width="37.5703125" style="91" customWidth="1"/>
    <col min="11523" max="11777" width="9.140625" style="91"/>
    <col min="11778" max="11778" width="37.5703125" style="91" customWidth="1"/>
    <col min="11779" max="12033" width="9.140625" style="91"/>
    <col min="12034" max="12034" width="37.5703125" style="91" customWidth="1"/>
    <col min="12035" max="12289" width="9.140625" style="91"/>
    <col min="12290" max="12290" width="37.5703125" style="91" customWidth="1"/>
    <col min="12291" max="12545" width="9.140625" style="91"/>
    <col min="12546" max="12546" width="37.5703125" style="91" customWidth="1"/>
    <col min="12547" max="12801" width="9.140625" style="91"/>
    <col min="12802" max="12802" width="37.5703125" style="91" customWidth="1"/>
    <col min="12803" max="13057" width="9.140625" style="91"/>
    <col min="13058" max="13058" width="37.5703125" style="91" customWidth="1"/>
    <col min="13059" max="13313" width="9.140625" style="91"/>
    <col min="13314" max="13314" width="37.5703125" style="91" customWidth="1"/>
    <col min="13315" max="13569" width="9.140625" style="91"/>
    <col min="13570" max="13570" width="37.5703125" style="91" customWidth="1"/>
    <col min="13571" max="13825" width="9.140625" style="91"/>
    <col min="13826" max="13826" width="37.5703125" style="91" customWidth="1"/>
    <col min="13827" max="14081" width="9.140625" style="91"/>
    <col min="14082" max="14082" width="37.5703125" style="91" customWidth="1"/>
    <col min="14083" max="14337" width="9.140625" style="91"/>
    <col min="14338" max="14338" width="37.5703125" style="91" customWidth="1"/>
    <col min="14339" max="14593" width="9.140625" style="91"/>
    <col min="14594" max="14594" width="37.5703125" style="91" customWidth="1"/>
    <col min="14595" max="14849" width="9.140625" style="91"/>
    <col min="14850" max="14850" width="37.5703125" style="91" customWidth="1"/>
    <col min="14851" max="15105" width="9.140625" style="91"/>
    <col min="15106" max="15106" width="37.5703125" style="91" customWidth="1"/>
    <col min="15107" max="15361" width="9.140625" style="91"/>
    <col min="15362" max="15362" width="37.5703125" style="91" customWidth="1"/>
    <col min="15363" max="15617" width="9.140625" style="91"/>
    <col min="15618" max="15618" width="37.5703125" style="91" customWidth="1"/>
    <col min="15619" max="15873" width="9.140625" style="91"/>
    <col min="15874" max="15874" width="37.5703125" style="91" customWidth="1"/>
    <col min="15875" max="16129" width="9.140625" style="91"/>
    <col min="16130" max="16130" width="37.5703125" style="91" customWidth="1"/>
    <col min="16131" max="16384" width="9.140625" style="91"/>
  </cols>
  <sheetData>
    <row r="1" spans="1:14" s="56" customFormat="1" ht="23.25">
      <c r="A1" s="22" t="str">
        <f>IS!A1</f>
        <v>Colgate-Palmolive Company</v>
      </c>
      <c r="F1" s="58"/>
      <c r="G1" s="58"/>
      <c r="H1" s="57"/>
    </row>
    <row r="2" spans="1:14" s="23" customFormat="1" ht="14.25"/>
    <row r="3" spans="1:14" s="23" customFormat="1" ht="20.25">
      <c r="A3" s="1" t="s">
        <v>195</v>
      </c>
    </row>
    <row r="4" spans="1:14" s="23" customFormat="1" ht="14.25"/>
    <row r="5" spans="1:14" s="56" customFormat="1" ht="15.75" thickBot="1">
      <c r="B5" s="63"/>
      <c r="C5" s="62">
        <f>BS!C5</f>
        <v>39447</v>
      </c>
      <c r="D5" s="62">
        <f>BS!D5</f>
        <v>39813</v>
      </c>
      <c r="E5" s="62">
        <f>BS!E5</f>
        <v>40178</v>
      </c>
      <c r="F5" s="62">
        <f>BS!F5</f>
        <v>40543</v>
      </c>
      <c r="G5" s="62">
        <f>BS!G5</f>
        <v>40908</v>
      </c>
      <c r="H5" s="62">
        <f>BS!H5</f>
        <v>41274</v>
      </c>
      <c r="I5" s="62">
        <f>BS!I5</f>
        <v>41639</v>
      </c>
      <c r="J5" s="62">
        <f>BS!J5</f>
        <v>42004</v>
      </c>
      <c r="K5" s="62">
        <f>BS!K5</f>
        <v>42369</v>
      </c>
      <c r="L5" s="62">
        <f>BS!L5</f>
        <v>42735</v>
      </c>
      <c r="M5" s="62">
        <f>BS!M5</f>
        <v>43100</v>
      </c>
      <c r="N5" s="62">
        <f>BS!N5</f>
        <v>43465</v>
      </c>
    </row>
    <row r="6" spans="1:14">
      <c r="B6" s="23" t="s">
        <v>156</v>
      </c>
      <c r="C6" s="172"/>
      <c r="D6" s="136"/>
      <c r="E6" s="136"/>
      <c r="F6" s="303"/>
      <c r="G6" s="232">
        <f t="shared" ref="G6:H6" si="0">F9</f>
        <v>989.70093399999996</v>
      </c>
      <c r="H6" s="232">
        <f t="shared" si="0"/>
        <v>960.03614999999991</v>
      </c>
      <c r="I6" s="232">
        <f>H9</f>
        <v>935.72867599999995</v>
      </c>
      <c r="J6" s="232">
        <f t="shared" ref="J6" si="1">I9</f>
        <v>919.94657499999994</v>
      </c>
      <c r="K6" s="232">
        <f>J9</f>
        <v>913.81490842644257</v>
      </c>
      <c r="L6" s="232">
        <f t="shared" ref="L6:N6" si="2">K9</f>
        <v>884.70344026104499</v>
      </c>
      <c r="M6" s="232">
        <f t="shared" si="2"/>
        <v>857.04957579468339</v>
      </c>
      <c r="N6" s="232">
        <f t="shared" si="2"/>
        <v>830.83782833178691</v>
      </c>
    </row>
    <row r="7" spans="1:14">
      <c r="B7" s="23" t="s">
        <v>228</v>
      </c>
      <c r="C7" s="231"/>
      <c r="D7" s="251"/>
      <c r="E7" s="251"/>
      <c r="F7" s="304"/>
      <c r="G7" s="306">
        <f>11.517758+1.45933</f>
        <v>12.977088</v>
      </c>
      <c r="H7" s="305">
        <f>12.21723+2.205898</f>
        <v>14.423128</v>
      </c>
      <c r="I7" s="306">
        <f>7.883834+1.907382</f>
        <v>9.7912160000000004</v>
      </c>
      <c r="J7" s="250">
        <f>'[2]Shareholders Equity'!J21</f>
        <v>24.151</v>
      </c>
      <c r="K7" s="250"/>
      <c r="L7" s="250"/>
      <c r="M7" s="250"/>
      <c r="N7" s="250"/>
    </row>
    <row r="8" spans="1:14">
      <c r="B8" s="23" t="s">
        <v>157</v>
      </c>
      <c r="C8" s="172"/>
      <c r="D8" s="136"/>
      <c r="E8" s="136"/>
      <c r="F8" s="303"/>
      <c r="G8" s="306">
        <v>-42.641871999999999</v>
      </c>
      <c r="H8" s="306">
        <v>-38.730601999999998</v>
      </c>
      <c r="I8" s="306">
        <v>-25.573316999999999</v>
      </c>
      <c r="J8" s="252">
        <f>-'[2]Shareholders Equity'!J17</f>
        <v>-30.282666573557307</v>
      </c>
      <c r="K8" s="252">
        <f>-'[2]Shareholders Equity'!K17</f>
        <v>-29.111468165397593</v>
      </c>
      <c r="L8" s="252">
        <f>-'[2]Shareholders Equity'!L17</f>
        <v>-27.653864466361583</v>
      </c>
      <c r="M8" s="252">
        <f>-'[2]Shareholders Equity'!M17</f>
        <v>-26.211747462896462</v>
      </c>
      <c r="N8" s="252">
        <f>-'[2]Shareholders Equity'!N17</f>
        <v>-24.931558483000686</v>
      </c>
    </row>
    <row r="9" spans="1:14">
      <c r="B9" s="307" t="s">
        <v>158</v>
      </c>
      <c r="C9" s="308"/>
      <c r="D9" s="309"/>
      <c r="E9" s="309"/>
      <c r="F9" s="310">
        <v>989.70093399999996</v>
      </c>
      <c r="G9" s="310">
        <f>SUM(G6:G8)</f>
        <v>960.03614999999991</v>
      </c>
      <c r="H9" s="310">
        <f t="shared" ref="H9:N9" si="3">SUM(H6:H8)</f>
        <v>935.72867599999995</v>
      </c>
      <c r="I9" s="310">
        <f t="shared" si="3"/>
        <v>919.94657499999994</v>
      </c>
      <c r="J9" s="310">
        <f t="shared" si="3"/>
        <v>913.81490842644257</v>
      </c>
      <c r="K9" s="310">
        <f t="shared" si="3"/>
        <v>884.70344026104499</v>
      </c>
      <c r="L9" s="310">
        <f t="shared" si="3"/>
        <v>857.04957579468339</v>
      </c>
      <c r="M9" s="310">
        <f t="shared" si="3"/>
        <v>830.83782833178691</v>
      </c>
      <c r="N9" s="310">
        <f t="shared" si="3"/>
        <v>805.90626984878622</v>
      </c>
    </row>
    <row r="10" spans="1:14">
      <c r="B10" s="23"/>
      <c r="C10" s="97"/>
      <c r="D10" s="136"/>
      <c r="E10" s="136"/>
      <c r="F10" s="97"/>
      <c r="G10" s="97"/>
      <c r="H10" s="97"/>
      <c r="I10" s="97"/>
      <c r="J10" s="136"/>
      <c r="K10" s="136"/>
      <c r="L10" s="136"/>
      <c r="M10" s="136"/>
      <c r="N10" s="136"/>
    </row>
    <row r="11" spans="1:14">
      <c r="B11" s="23" t="s">
        <v>159</v>
      </c>
      <c r="C11" s="142"/>
      <c r="D11" s="253"/>
      <c r="E11" s="253"/>
      <c r="F11" s="142"/>
      <c r="G11" s="270">
        <v>976.7</v>
      </c>
      <c r="H11" s="270">
        <v>952.1</v>
      </c>
      <c r="I11" s="270">
        <v>930.8</v>
      </c>
      <c r="J11" s="253">
        <f>AVERAGE(I9:J9)</f>
        <v>916.88074171322125</v>
      </c>
      <c r="K11" s="253">
        <f t="shared" ref="K11:N11" si="4">AVERAGE(J9:K9)</f>
        <v>899.25917434374378</v>
      </c>
      <c r="L11" s="253">
        <f t="shared" si="4"/>
        <v>870.87650802786425</v>
      </c>
      <c r="M11" s="253">
        <f t="shared" si="4"/>
        <v>843.94370206323515</v>
      </c>
      <c r="N11" s="253">
        <f t="shared" si="4"/>
        <v>818.37204909028651</v>
      </c>
    </row>
    <row r="12" spans="1:14">
      <c r="B12" s="23" t="s">
        <v>227</v>
      </c>
      <c r="C12" s="138"/>
      <c r="D12" s="254"/>
      <c r="E12" s="254"/>
      <c r="F12" s="138"/>
      <c r="G12" s="270">
        <v>7.4</v>
      </c>
      <c r="H12" s="270">
        <v>8.1</v>
      </c>
      <c r="I12" s="270">
        <v>9.1</v>
      </c>
      <c r="J12" s="254">
        <f>'[2]Shareholders Equity'!J25</f>
        <v>2.063181818181818</v>
      </c>
      <c r="K12" s="254">
        <f>'[2]Shareholders Equity'!K25</f>
        <v>2.063181818181818</v>
      </c>
      <c r="L12" s="254">
        <f>'[2]Shareholders Equity'!L25</f>
        <v>2</v>
      </c>
      <c r="M12" s="254">
        <f>'[2]Shareholders Equity'!M25</f>
        <v>2</v>
      </c>
      <c r="N12" s="254">
        <f>'[2]Shareholders Equity'!N25</f>
        <v>2</v>
      </c>
    </row>
    <row r="13" spans="1:14" ht="15.75" thickBot="1">
      <c r="B13" s="108" t="s">
        <v>160</v>
      </c>
      <c r="C13" s="311"/>
      <c r="D13" s="312"/>
      <c r="E13" s="312"/>
      <c r="F13" s="311"/>
      <c r="G13" s="313">
        <v>984.1</v>
      </c>
      <c r="H13" s="311">
        <f t="shared" ref="H13:N13" si="5">SUM(H11:H12)</f>
        <v>960.2</v>
      </c>
      <c r="I13" s="311">
        <f t="shared" si="5"/>
        <v>939.9</v>
      </c>
      <c r="J13" s="311">
        <f t="shared" si="5"/>
        <v>918.94392353140313</v>
      </c>
      <c r="K13" s="311">
        <f t="shared" si="5"/>
        <v>901.32235616192565</v>
      </c>
      <c r="L13" s="311">
        <f t="shared" si="5"/>
        <v>872.87650802786425</v>
      </c>
      <c r="M13" s="311">
        <f t="shared" si="5"/>
        <v>845.94370206323515</v>
      </c>
      <c r="N13" s="311">
        <f t="shared" si="5"/>
        <v>820.37204909028651</v>
      </c>
    </row>
    <row r="14" spans="1:14" ht="15.75" thickTop="1"/>
  </sheetData>
  <pageMargins left="0.7" right="0.7" top="0.75" bottom="0.75" header="0.3" footer="0.3"/>
  <pageSetup orientation="portrait" horizontalDpi="200" verticalDpi="20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O51"/>
  <sheetViews>
    <sheetView topLeftCell="A3" workbookViewId="0">
      <pane xSplit="2" ySplit="3" topLeftCell="F33" activePane="bottomRight" state="frozen"/>
      <selection activeCell="A3" sqref="A3"/>
      <selection pane="topRight" activeCell="C3" sqref="C3"/>
      <selection pane="bottomLeft" activeCell="A6" sqref="A6"/>
      <selection pane="bottomRight" activeCell="J53" sqref="J53"/>
    </sheetView>
  </sheetViews>
  <sheetFormatPr defaultRowHeight="15"/>
  <cols>
    <col min="1" max="1" width="2.85546875" style="91" customWidth="1"/>
    <col min="2" max="2" width="41.28515625" style="91" bestFit="1" customWidth="1"/>
    <col min="3" max="5" width="9.140625" style="91" hidden="1" customWidth="1"/>
    <col min="6" max="9" width="9.140625" style="91"/>
    <col min="10" max="12" width="10.28515625" style="91" bestFit="1" customWidth="1"/>
    <col min="13" max="14" width="11.140625" style="91" bestFit="1" customWidth="1"/>
    <col min="15" max="257" width="9.140625" style="91"/>
    <col min="258" max="258" width="41.28515625" style="91" bestFit="1" customWidth="1"/>
    <col min="259" max="260" width="9.140625" style="91"/>
    <col min="261" max="261" width="7.7109375" style="91" bestFit="1" customWidth="1"/>
    <col min="262" max="262" width="13.140625" style="91" customWidth="1"/>
    <col min="263" max="513" width="9.140625" style="91"/>
    <col min="514" max="514" width="41.28515625" style="91" bestFit="1" customWidth="1"/>
    <col min="515" max="516" width="9.140625" style="91"/>
    <col min="517" max="517" width="7.7109375" style="91" bestFit="1" customWidth="1"/>
    <col min="518" max="518" width="13.140625" style="91" customWidth="1"/>
    <col min="519" max="769" width="9.140625" style="91"/>
    <col min="770" max="770" width="41.28515625" style="91" bestFit="1" customWidth="1"/>
    <col min="771" max="772" width="9.140625" style="91"/>
    <col min="773" max="773" width="7.7109375" style="91" bestFit="1" customWidth="1"/>
    <col min="774" max="774" width="13.140625" style="91" customWidth="1"/>
    <col min="775" max="1025" width="9.140625" style="91"/>
    <col min="1026" max="1026" width="41.28515625" style="91" bestFit="1" customWidth="1"/>
    <col min="1027" max="1028" width="9.140625" style="91"/>
    <col min="1029" max="1029" width="7.7109375" style="91" bestFit="1" customWidth="1"/>
    <col min="1030" max="1030" width="13.140625" style="91" customWidth="1"/>
    <col min="1031" max="1281" width="9.140625" style="91"/>
    <col min="1282" max="1282" width="41.28515625" style="91" bestFit="1" customWidth="1"/>
    <col min="1283" max="1284" width="9.140625" style="91"/>
    <col min="1285" max="1285" width="7.7109375" style="91" bestFit="1" customWidth="1"/>
    <col min="1286" max="1286" width="13.140625" style="91" customWidth="1"/>
    <col min="1287" max="1537" width="9.140625" style="91"/>
    <col min="1538" max="1538" width="41.28515625" style="91" bestFit="1" customWidth="1"/>
    <col min="1539" max="1540" width="9.140625" style="91"/>
    <col min="1541" max="1541" width="7.7109375" style="91" bestFit="1" customWidth="1"/>
    <col min="1542" max="1542" width="13.140625" style="91" customWidth="1"/>
    <col min="1543" max="1793" width="9.140625" style="91"/>
    <col min="1794" max="1794" width="41.28515625" style="91" bestFit="1" customWidth="1"/>
    <col min="1795" max="1796" width="9.140625" style="91"/>
    <col min="1797" max="1797" width="7.7109375" style="91" bestFit="1" customWidth="1"/>
    <col min="1798" max="1798" width="13.140625" style="91" customWidth="1"/>
    <col min="1799" max="2049" width="9.140625" style="91"/>
    <col min="2050" max="2050" width="41.28515625" style="91" bestFit="1" customWidth="1"/>
    <col min="2051" max="2052" width="9.140625" style="91"/>
    <col min="2053" max="2053" width="7.7109375" style="91" bestFit="1" customWidth="1"/>
    <col min="2054" max="2054" width="13.140625" style="91" customWidth="1"/>
    <col min="2055" max="2305" width="9.140625" style="91"/>
    <col min="2306" max="2306" width="41.28515625" style="91" bestFit="1" customWidth="1"/>
    <col min="2307" max="2308" width="9.140625" style="91"/>
    <col min="2309" max="2309" width="7.7109375" style="91" bestFit="1" customWidth="1"/>
    <col min="2310" max="2310" width="13.140625" style="91" customWidth="1"/>
    <col min="2311" max="2561" width="9.140625" style="91"/>
    <col min="2562" max="2562" width="41.28515625" style="91" bestFit="1" customWidth="1"/>
    <col min="2563" max="2564" width="9.140625" style="91"/>
    <col min="2565" max="2565" width="7.7109375" style="91" bestFit="1" customWidth="1"/>
    <col min="2566" max="2566" width="13.140625" style="91" customWidth="1"/>
    <col min="2567" max="2817" width="9.140625" style="91"/>
    <col min="2818" max="2818" width="41.28515625" style="91" bestFit="1" customWidth="1"/>
    <col min="2819" max="2820" width="9.140625" style="91"/>
    <col min="2821" max="2821" width="7.7109375" style="91" bestFit="1" customWidth="1"/>
    <col min="2822" max="2822" width="13.140625" style="91" customWidth="1"/>
    <col min="2823" max="3073" width="9.140625" style="91"/>
    <col min="3074" max="3074" width="41.28515625" style="91" bestFit="1" customWidth="1"/>
    <col min="3075" max="3076" width="9.140625" style="91"/>
    <col min="3077" max="3077" width="7.7109375" style="91" bestFit="1" customWidth="1"/>
    <col min="3078" max="3078" width="13.140625" style="91" customWidth="1"/>
    <col min="3079" max="3329" width="9.140625" style="91"/>
    <col min="3330" max="3330" width="41.28515625" style="91" bestFit="1" customWidth="1"/>
    <col min="3331" max="3332" width="9.140625" style="91"/>
    <col min="3333" max="3333" width="7.7109375" style="91" bestFit="1" customWidth="1"/>
    <col min="3334" max="3334" width="13.140625" style="91" customWidth="1"/>
    <col min="3335" max="3585" width="9.140625" style="91"/>
    <col min="3586" max="3586" width="41.28515625" style="91" bestFit="1" customWidth="1"/>
    <col min="3587" max="3588" width="9.140625" style="91"/>
    <col min="3589" max="3589" width="7.7109375" style="91" bestFit="1" customWidth="1"/>
    <col min="3590" max="3590" width="13.140625" style="91" customWidth="1"/>
    <col min="3591" max="3841" width="9.140625" style="91"/>
    <col min="3842" max="3842" width="41.28515625" style="91" bestFit="1" customWidth="1"/>
    <col min="3843" max="3844" width="9.140625" style="91"/>
    <col min="3845" max="3845" width="7.7109375" style="91" bestFit="1" customWidth="1"/>
    <col min="3846" max="3846" width="13.140625" style="91" customWidth="1"/>
    <col min="3847" max="4097" width="9.140625" style="91"/>
    <col min="4098" max="4098" width="41.28515625" style="91" bestFit="1" customWidth="1"/>
    <col min="4099" max="4100" width="9.140625" style="91"/>
    <col min="4101" max="4101" width="7.7109375" style="91" bestFit="1" customWidth="1"/>
    <col min="4102" max="4102" width="13.140625" style="91" customWidth="1"/>
    <col min="4103" max="4353" width="9.140625" style="91"/>
    <col min="4354" max="4354" width="41.28515625" style="91" bestFit="1" customWidth="1"/>
    <col min="4355" max="4356" width="9.140625" style="91"/>
    <col min="4357" max="4357" width="7.7109375" style="91" bestFit="1" customWidth="1"/>
    <col min="4358" max="4358" width="13.140625" style="91" customWidth="1"/>
    <col min="4359" max="4609" width="9.140625" style="91"/>
    <col min="4610" max="4610" width="41.28515625" style="91" bestFit="1" customWidth="1"/>
    <col min="4611" max="4612" width="9.140625" style="91"/>
    <col min="4613" max="4613" width="7.7109375" style="91" bestFit="1" customWidth="1"/>
    <col min="4614" max="4614" width="13.140625" style="91" customWidth="1"/>
    <col min="4615" max="4865" width="9.140625" style="91"/>
    <col min="4866" max="4866" width="41.28515625" style="91" bestFit="1" customWidth="1"/>
    <col min="4867" max="4868" width="9.140625" style="91"/>
    <col min="4869" max="4869" width="7.7109375" style="91" bestFit="1" customWidth="1"/>
    <col min="4870" max="4870" width="13.140625" style="91" customWidth="1"/>
    <col min="4871" max="5121" width="9.140625" style="91"/>
    <col min="5122" max="5122" width="41.28515625" style="91" bestFit="1" customWidth="1"/>
    <col min="5123" max="5124" width="9.140625" style="91"/>
    <col min="5125" max="5125" width="7.7109375" style="91" bestFit="1" customWidth="1"/>
    <col min="5126" max="5126" width="13.140625" style="91" customWidth="1"/>
    <col min="5127" max="5377" width="9.140625" style="91"/>
    <col min="5378" max="5378" width="41.28515625" style="91" bestFit="1" customWidth="1"/>
    <col min="5379" max="5380" width="9.140625" style="91"/>
    <col min="5381" max="5381" width="7.7109375" style="91" bestFit="1" customWidth="1"/>
    <col min="5382" max="5382" width="13.140625" style="91" customWidth="1"/>
    <col min="5383" max="5633" width="9.140625" style="91"/>
    <col min="5634" max="5634" width="41.28515625" style="91" bestFit="1" customWidth="1"/>
    <col min="5635" max="5636" width="9.140625" style="91"/>
    <col min="5637" max="5637" width="7.7109375" style="91" bestFit="1" customWidth="1"/>
    <col min="5638" max="5638" width="13.140625" style="91" customWidth="1"/>
    <col min="5639" max="5889" width="9.140625" style="91"/>
    <col min="5890" max="5890" width="41.28515625" style="91" bestFit="1" customWidth="1"/>
    <col min="5891" max="5892" width="9.140625" style="91"/>
    <col min="5893" max="5893" width="7.7109375" style="91" bestFit="1" customWidth="1"/>
    <col min="5894" max="5894" width="13.140625" style="91" customWidth="1"/>
    <col min="5895" max="6145" width="9.140625" style="91"/>
    <col min="6146" max="6146" width="41.28515625" style="91" bestFit="1" customWidth="1"/>
    <col min="6147" max="6148" width="9.140625" style="91"/>
    <col min="6149" max="6149" width="7.7109375" style="91" bestFit="1" customWidth="1"/>
    <col min="6150" max="6150" width="13.140625" style="91" customWidth="1"/>
    <col min="6151" max="6401" width="9.140625" style="91"/>
    <col min="6402" max="6402" width="41.28515625" style="91" bestFit="1" customWidth="1"/>
    <col min="6403" max="6404" width="9.140625" style="91"/>
    <col min="6405" max="6405" width="7.7109375" style="91" bestFit="1" customWidth="1"/>
    <col min="6406" max="6406" width="13.140625" style="91" customWidth="1"/>
    <col min="6407" max="6657" width="9.140625" style="91"/>
    <col min="6658" max="6658" width="41.28515625" style="91" bestFit="1" customWidth="1"/>
    <col min="6659" max="6660" width="9.140625" style="91"/>
    <col min="6661" max="6661" width="7.7109375" style="91" bestFit="1" customWidth="1"/>
    <col min="6662" max="6662" width="13.140625" style="91" customWidth="1"/>
    <col min="6663" max="6913" width="9.140625" style="91"/>
    <col min="6914" max="6914" width="41.28515625" style="91" bestFit="1" customWidth="1"/>
    <col min="6915" max="6916" width="9.140625" style="91"/>
    <col min="6917" max="6917" width="7.7109375" style="91" bestFit="1" customWidth="1"/>
    <col min="6918" max="6918" width="13.140625" style="91" customWidth="1"/>
    <col min="6919" max="7169" width="9.140625" style="91"/>
    <col min="7170" max="7170" width="41.28515625" style="91" bestFit="1" customWidth="1"/>
    <col min="7171" max="7172" width="9.140625" style="91"/>
    <col min="7173" max="7173" width="7.7109375" style="91" bestFit="1" customWidth="1"/>
    <col min="7174" max="7174" width="13.140625" style="91" customWidth="1"/>
    <col min="7175" max="7425" width="9.140625" style="91"/>
    <col min="7426" max="7426" width="41.28515625" style="91" bestFit="1" customWidth="1"/>
    <col min="7427" max="7428" width="9.140625" style="91"/>
    <col min="7429" max="7429" width="7.7109375" style="91" bestFit="1" customWidth="1"/>
    <col min="7430" max="7430" width="13.140625" style="91" customWidth="1"/>
    <col min="7431" max="7681" width="9.140625" style="91"/>
    <col min="7682" max="7682" width="41.28515625" style="91" bestFit="1" customWidth="1"/>
    <col min="7683" max="7684" width="9.140625" style="91"/>
    <col min="7685" max="7685" width="7.7109375" style="91" bestFit="1" customWidth="1"/>
    <col min="7686" max="7686" width="13.140625" style="91" customWidth="1"/>
    <col min="7687" max="7937" width="9.140625" style="91"/>
    <col min="7938" max="7938" width="41.28515625" style="91" bestFit="1" customWidth="1"/>
    <col min="7939" max="7940" width="9.140625" style="91"/>
    <col min="7941" max="7941" width="7.7109375" style="91" bestFit="1" customWidth="1"/>
    <col min="7942" max="7942" width="13.140625" style="91" customWidth="1"/>
    <col min="7943" max="8193" width="9.140625" style="91"/>
    <col min="8194" max="8194" width="41.28515625" style="91" bestFit="1" customWidth="1"/>
    <col min="8195" max="8196" width="9.140625" style="91"/>
    <col min="8197" max="8197" width="7.7109375" style="91" bestFit="1" customWidth="1"/>
    <col min="8198" max="8198" width="13.140625" style="91" customWidth="1"/>
    <col min="8199" max="8449" width="9.140625" style="91"/>
    <col min="8450" max="8450" width="41.28515625" style="91" bestFit="1" customWidth="1"/>
    <col min="8451" max="8452" width="9.140625" style="91"/>
    <col min="8453" max="8453" width="7.7109375" style="91" bestFit="1" customWidth="1"/>
    <col min="8454" max="8454" width="13.140625" style="91" customWidth="1"/>
    <col min="8455" max="8705" width="9.140625" style="91"/>
    <col min="8706" max="8706" width="41.28515625" style="91" bestFit="1" customWidth="1"/>
    <col min="8707" max="8708" width="9.140625" style="91"/>
    <col min="8709" max="8709" width="7.7109375" style="91" bestFit="1" customWidth="1"/>
    <col min="8710" max="8710" width="13.140625" style="91" customWidth="1"/>
    <col min="8711" max="8961" width="9.140625" style="91"/>
    <col min="8962" max="8962" width="41.28515625" style="91" bestFit="1" customWidth="1"/>
    <col min="8963" max="8964" width="9.140625" style="91"/>
    <col min="8965" max="8965" width="7.7109375" style="91" bestFit="1" customWidth="1"/>
    <col min="8966" max="8966" width="13.140625" style="91" customWidth="1"/>
    <col min="8967" max="9217" width="9.140625" style="91"/>
    <col min="9218" max="9218" width="41.28515625" style="91" bestFit="1" customWidth="1"/>
    <col min="9219" max="9220" width="9.140625" style="91"/>
    <col min="9221" max="9221" width="7.7109375" style="91" bestFit="1" customWidth="1"/>
    <col min="9222" max="9222" width="13.140625" style="91" customWidth="1"/>
    <col min="9223" max="9473" width="9.140625" style="91"/>
    <col min="9474" max="9474" width="41.28515625" style="91" bestFit="1" customWidth="1"/>
    <col min="9475" max="9476" width="9.140625" style="91"/>
    <col min="9477" max="9477" width="7.7109375" style="91" bestFit="1" customWidth="1"/>
    <col min="9478" max="9478" width="13.140625" style="91" customWidth="1"/>
    <col min="9479" max="9729" width="9.140625" style="91"/>
    <col min="9730" max="9730" width="41.28515625" style="91" bestFit="1" customWidth="1"/>
    <col min="9731" max="9732" width="9.140625" style="91"/>
    <col min="9733" max="9733" width="7.7109375" style="91" bestFit="1" customWidth="1"/>
    <col min="9734" max="9734" width="13.140625" style="91" customWidth="1"/>
    <col min="9735" max="9985" width="9.140625" style="91"/>
    <col min="9986" max="9986" width="41.28515625" style="91" bestFit="1" customWidth="1"/>
    <col min="9987" max="9988" width="9.140625" style="91"/>
    <col min="9989" max="9989" width="7.7109375" style="91" bestFit="1" customWidth="1"/>
    <col min="9990" max="9990" width="13.140625" style="91" customWidth="1"/>
    <col min="9991" max="10241" width="9.140625" style="91"/>
    <col min="10242" max="10242" width="41.28515625" style="91" bestFit="1" customWidth="1"/>
    <col min="10243" max="10244" width="9.140625" style="91"/>
    <col min="10245" max="10245" width="7.7109375" style="91" bestFit="1" customWidth="1"/>
    <col min="10246" max="10246" width="13.140625" style="91" customWidth="1"/>
    <col min="10247" max="10497" width="9.140625" style="91"/>
    <col min="10498" max="10498" width="41.28515625" style="91" bestFit="1" customWidth="1"/>
    <col min="10499" max="10500" width="9.140625" style="91"/>
    <col min="10501" max="10501" width="7.7109375" style="91" bestFit="1" customWidth="1"/>
    <col min="10502" max="10502" width="13.140625" style="91" customWidth="1"/>
    <col min="10503" max="10753" width="9.140625" style="91"/>
    <col min="10754" max="10754" width="41.28515625" style="91" bestFit="1" customWidth="1"/>
    <col min="10755" max="10756" width="9.140625" style="91"/>
    <col min="10757" max="10757" width="7.7109375" style="91" bestFit="1" customWidth="1"/>
    <col min="10758" max="10758" width="13.140625" style="91" customWidth="1"/>
    <col min="10759" max="11009" width="9.140625" style="91"/>
    <col min="11010" max="11010" width="41.28515625" style="91" bestFit="1" customWidth="1"/>
    <col min="11011" max="11012" width="9.140625" style="91"/>
    <col min="11013" max="11013" width="7.7109375" style="91" bestFit="1" customWidth="1"/>
    <col min="11014" max="11014" width="13.140625" style="91" customWidth="1"/>
    <col min="11015" max="11265" width="9.140625" style="91"/>
    <col min="11266" max="11266" width="41.28515625" style="91" bestFit="1" customWidth="1"/>
    <col min="11267" max="11268" width="9.140625" style="91"/>
    <col min="11269" max="11269" width="7.7109375" style="91" bestFit="1" customWidth="1"/>
    <col min="11270" max="11270" width="13.140625" style="91" customWidth="1"/>
    <col min="11271" max="11521" width="9.140625" style="91"/>
    <col min="11522" max="11522" width="41.28515625" style="91" bestFit="1" customWidth="1"/>
    <col min="11523" max="11524" width="9.140625" style="91"/>
    <col min="11525" max="11525" width="7.7109375" style="91" bestFit="1" customWidth="1"/>
    <col min="11526" max="11526" width="13.140625" style="91" customWidth="1"/>
    <col min="11527" max="11777" width="9.140625" style="91"/>
    <col min="11778" max="11778" width="41.28515625" style="91" bestFit="1" customWidth="1"/>
    <col min="11779" max="11780" width="9.140625" style="91"/>
    <col min="11781" max="11781" width="7.7109375" style="91" bestFit="1" customWidth="1"/>
    <col min="11782" max="11782" width="13.140625" style="91" customWidth="1"/>
    <col min="11783" max="12033" width="9.140625" style="91"/>
    <col min="12034" max="12034" width="41.28515625" style="91" bestFit="1" customWidth="1"/>
    <col min="12035" max="12036" width="9.140625" style="91"/>
    <col min="12037" max="12037" width="7.7109375" style="91" bestFit="1" customWidth="1"/>
    <col min="12038" max="12038" width="13.140625" style="91" customWidth="1"/>
    <col min="12039" max="12289" width="9.140625" style="91"/>
    <col min="12290" max="12290" width="41.28515625" style="91" bestFit="1" customWidth="1"/>
    <col min="12291" max="12292" width="9.140625" style="91"/>
    <col min="12293" max="12293" width="7.7109375" style="91" bestFit="1" customWidth="1"/>
    <col min="12294" max="12294" width="13.140625" style="91" customWidth="1"/>
    <col min="12295" max="12545" width="9.140625" style="91"/>
    <col min="12546" max="12546" width="41.28515625" style="91" bestFit="1" customWidth="1"/>
    <col min="12547" max="12548" width="9.140625" style="91"/>
    <col min="12549" max="12549" width="7.7109375" style="91" bestFit="1" customWidth="1"/>
    <col min="12550" max="12550" width="13.140625" style="91" customWidth="1"/>
    <col min="12551" max="12801" width="9.140625" style="91"/>
    <col min="12802" max="12802" width="41.28515625" style="91" bestFit="1" customWidth="1"/>
    <col min="12803" max="12804" width="9.140625" style="91"/>
    <col min="12805" max="12805" width="7.7109375" style="91" bestFit="1" customWidth="1"/>
    <col min="12806" max="12806" width="13.140625" style="91" customWidth="1"/>
    <col min="12807" max="13057" width="9.140625" style="91"/>
    <col min="13058" max="13058" width="41.28515625" style="91" bestFit="1" customWidth="1"/>
    <col min="13059" max="13060" width="9.140625" style="91"/>
    <col min="13061" max="13061" width="7.7109375" style="91" bestFit="1" customWidth="1"/>
    <col min="13062" max="13062" width="13.140625" style="91" customWidth="1"/>
    <col min="13063" max="13313" width="9.140625" style="91"/>
    <col min="13314" max="13314" width="41.28515625" style="91" bestFit="1" customWidth="1"/>
    <col min="13315" max="13316" width="9.140625" style="91"/>
    <col min="13317" max="13317" width="7.7109375" style="91" bestFit="1" customWidth="1"/>
    <col min="13318" max="13318" width="13.140625" style="91" customWidth="1"/>
    <col min="13319" max="13569" width="9.140625" style="91"/>
    <col min="13570" max="13570" width="41.28515625" style="91" bestFit="1" customWidth="1"/>
    <col min="13571" max="13572" width="9.140625" style="91"/>
    <col min="13573" max="13573" width="7.7109375" style="91" bestFit="1" customWidth="1"/>
    <col min="13574" max="13574" width="13.140625" style="91" customWidth="1"/>
    <col min="13575" max="13825" width="9.140625" style="91"/>
    <col min="13826" max="13826" width="41.28515625" style="91" bestFit="1" customWidth="1"/>
    <col min="13827" max="13828" width="9.140625" style="91"/>
    <col min="13829" max="13829" width="7.7109375" style="91" bestFit="1" customWidth="1"/>
    <col min="13830" max="13830" width="13.140625" style="91" customWidth="1"/>
    <col min="13831" max="14081" width="9.140625" style="91"/>
    <col min="14082" max="14082" width="41.28515625" style="91" bestFit="1" customWidth="1"/>
    <col min="14083" max="14084" width="9.140625" style="91"/>
    <col min="14085" max="14085" width="7.7109375" style="91" bestFit="1" customWidth="1"/>
    <col min="14086" max="14086" width="13.140625" style="91" customWidth="1"/>
    <col min="14087" max="14337" width="9.140625" style="91"/>
    <col min="14338" max="14338" width="41.28515625" style="91" bestFit="1" customWidth="1"/>
    <col min="14339" max="14340" width="9.140625" style="91"/>
    <col min="14341" max="14341" width="7.7109375" style="91" bestFit="1" customWidth="1"/>
    <col min="14342" max="14342" width="13.140625" style="91" customWidth="1"/>
    <col min="14343" max="14593" width="9.140625" style="91"/>
    <col min="14594" max="14594" width="41.28515625" style="91" bestFit="1" customWidth="1"/>
    <col min="14595" max="14596" width="9.140625" style="91"/>
    <col min="14597" max="14597" width="7.7109375" style="91" bestFit="1" customWidth="1"/>
    <col min="14598" max="14598" width="13.140625" style="91" customWidth="1"/>
    <col min="14599" max="14849" width="9.140625" style="91"/>
    <col min="14850" max="14850" width="41.28515625" style="91" bestFit="1" customWidth="1"/>
    <col min="14851" max="14852" width="9.140625" style="91"/>
    <col min="14853" max="14853" width="7.7109375" style="91" bestFit="1" customWidth="1"/>
    <col min="14854" max="14854" width="13.140625" style="91" customWidth="1"/>
    <col min="14855" max="15105" width="9.140625" style="91"/>
    <col min="15106" max="15106" width="41.28515625" style="91" bestFit="1" customWidth="1"/>
    <col min="15107" max="15108" width="9.140625" style="91"/>
    <col min="15109" max="15109" width="7.7109375" style="91" bestFit="1" customWidth="1"/>
    <col min="15110" max="15110" width="13.140625" style="91" customWidth="1"/>
    <col min="15111" max="15361" width="9.140625" style="91"/>
    <col min="15362" max="15362" width="41.28515625" style="91" bestFit="1" customWidth="1"/>
    <col min="15363" max="15364" width="9.140625" style="91"/>
    <col min="15365" max="15365" width="7.7109375" style="91" bestFit="1" customWidth="1"/>
    <col min="15366" max="15366" width="13.140625" style="91" customWidth="1"/>
    <col min="15367" max="15617" width="9.140625" style="91"/>
    <col min="15618" max="15618" width="41.28515625" style="91" bestFit="1" customWidth="1"/>
    <col min="15619" max="15620" width="9.140625" style="91"/>
    <col min="15621" max="15621" width="7.7109375" style="91" bestFit="1" customWidth="1"/>
    <col min="15622" max="15622" width="13.140625" style="91" customWidth="1"/>
    <col min="15623" max="15873" width="9.140625" style="91"/>
    <col min="15874" max="15874" width="41.28515625" style="91" bestFit="1" customWidth="1"/>
    <col min="15875" max="15876" width="9.140625" style="91"/>
    <col min="15877" max="15877" width="7.7109375" style="91" bestFit="1" customWidth="1"/>
    <col min="15878" max="15878" width="13.140625" style="91" customWidth="1"/>
    <col min="15879" max="16129" width="9.140625" style="91"/>
    <col min="16130" max="16130" width="41.28515625" style="91" bestFit="1" customWidth="1"/>
    <col min="16131" max="16132" width="9.140625" style="91"/>
    <col min="16133" max="16133" width="7.7109375" style="91" bestFit="1" customWidth="1"/>
    <col min="16134" max="16134" width="13.140625" style="91" customWidth="1"/>
    <col min="16135" max="16384" width="9.140625" style="91"/>
  </cols>
  <sheetData>
    <row r="1" spans="1:14" s="56" customFormat="1" ht="23.25">
      <c r="A1" s="22" t="str">
        <f>IS!A1</f>
        <v>Colgate-Palmolive Company</v>
      </c>
      <c r="F1" s="58"/>
      <c r="G1" s="58"/>
      <c r="H1" s="57"/>
    </row>
    <row r="2" spans="1:14" s="23" customFormat="1" ht="14.25"/>
    <row r="3" spans="1:14" s="23" customFormat="1" ht="20.25">
      <c r="A3" s="1" t="s">
        <v>161</v>
      </c>
    </row>
    <row r="4" spans="1:14" s="23" customFormat="1" ht="14.25"/>
    <row r="5" spans="1:14" s="56" customFormat="1" ht="15.75" thickBot="1">
      <c r="B5" s="63"/>
      <c r="C5" s="62">
        <f>BS!C5</f>
        <v>39447</v>
      </c>
      <c r="D5" s="62">
        <f>BS!D5</f>
        <v>39813</v>
      </c>
      <c r="E5" s="62">
        <f>BS!E5</f>
        <v>40178</v>
      </c>
      <c r="F5" s="62">
        <f>BS!F5</f>
        <v>40543</v>
      </c>
      <c r="G5" s="62">
        <f>BS!G5</f>
        <v>40908</v>
      </c>
      <c r="H5" s="62">
        <f>BS!H5</f>
        <v>41274</v>
      </c>
      <c r="I5" s="62">
        <f>BS!I5</f>
        <v>41639</v>
      </c>
      <c r="J5" s="62">
        <f>BS!J5</f>
        <v>42004</v>
      </c>
      <c r="K5" s="62">
        <f>BS!K5</f>
        <v>42369</v>
      </c>
      <c r="L5" s="62">
        <f>BS!L5</f>
        <v>42735</v>
      </c>
      <c r="M5" s="62">
        <f>BS!M5</f>
        <v>43100</v>
      </c>
      <c r="N5" s="62">
        <f>BS!N5</f>
        <v>43465</v>
      </c>
    </row>
    <row r="6" spans="1:14">
      <c r="B6" s="23" t="s">
        <v>162</v>
      </c>
      <c r="C6" s="146"/>
      <c r="D6" s="146"/>
      <c r="E6" s="146"/>
      <c r="F6" s="146"/>
      <c r="G6" s="146"/>
      <c r="H6" s="146"/>
      <c r="I6" s="146"/>
      <c r="J6" s="147">
        <f>[1]CF!J33</f>
        <v>2250.518478597704</v>
      </c>
      <c r="K6" s="147">
        <f>[1]CF!K33</f>
        <v>2381.5118274766592</v>
      </c>
      <c r="L6" s="147">
        <f>[1]CF!L33</f>
        <v>2445.8554642553481</v>
      </c>
      <c r="M6" s="147">
        <f>[1]CF!M33</f>
        <v>2526.4573256895392</v>
      </c>
      <c r="N6" s="147">
        <f>[1]CF!N33</f>
        <v>2600.8917725187316</v>
      </c>
    </row>
    <row r="7" spans="1:14">
      <c r="B7" s="23" t="s">
        <v>163</v>
      </c>
      <c r="C7" s="139"/>
      <c r="D7" s="139"/>
      <c r="E7" s="139"/>
      <c r="F7" s="139"/>
      <c r="G7" s="139"/>
      <c r="H7" s="139"/>
      <c r="I7" s="139"/>
      <c r="J7" s="140">
        <f>'[1]Shareholders Equity'!J8</f>
        <v>-1500</v>
      </c>
      <c r="K7" s="140">
        <f>'[1]Shareholders Equity'!K8</f>
        <v>-1500</v>
      </c>
      <c r="L7" s="140">
        <f>'[1]Shareholders Equity'!L8</f>
        <v>-1500</v>
      </c>
      <c r="M7" s="140">
        <f>'[1]Shareholders Equity'!M8</f>
        <v>-1500</v>
      </c>
      <c r="N7" s="140">
        <f>'[1]Shareholders Equity'!N8</f>
        <v>-1500</v>
      </c>
    </row>
    <row r="8" spans="1:14">
      <c r="B8" s="23" t="s">
        <v>164</v>
      </c>
      <c r="C8" s="141"/>
      <c r="D8" s="141"/>
      <c r="E8" s="141"/>
      <c r="F8" s="141"/>
      <c r="G8" s="141"/>
      <c r="H8" s="141"/>
      <c r="I8" s="141"/>
      <c r="J8" s="140">
        <f>'[1]Shareholders Equity'!J9</f>
        <v>-1317.635366496045</v>
      </c>
      <c r="K8" s="140">
        <f>'[1]Shareholders Equity'!K9</f>
        <v>-1344.36247744605</v>
      </c>
      <c r="L8" s="140">
        <f>'[1]Shareholders Equity'!L9</f>
        <v>-1370.5576969920473</v>
      </c>
      <c r="M8" s="140">
        <f>'[1]Shareholders Equity'!M9</f>
        <v>-1401.3474707337016</v>
      </c>
      <c r="N8" s="140">
        <f>'[1]Shareholders Equity'!N9</f>
        <v>-1428.7681993611643</v>
      </c>
    </row>
    <row r="9" spans="1:14">
      <c r="B9" s="23" t="s">
        <v>142</v>
      </c>
      <c r="C9" s="141"/>
      <c r="D9" s="141"/>
      <c r="E9" s="141"/>
      <c r="F9" s="141"/>
      <c r="G9" s="141"/>
      <c r="H9" s="141"/>
      <c r="I9" s="141"/>
      <c r="J9" s="140">
        <f>'[1]Shareholders Equity'!J10</f>
        <v>1014.342</v>
      </c>
      <c r="K9" s="140">
        <f>'[1]Shareholders Equity'!K10</f>
        <v>0</v>
      </c>
      <c r="L9" s="140">
        <f>'[1]Shareholders Equity'!L10</f>
        <v>0</v>
      </c>
      <c r="M9" s="140">
        <f>'[1]Shareholders Equity'!M10</f>
        <v>0</v>
      </c>
      <c r="N9" s="140">
        <f>'[1]Shareholders Equity'!N10</f>
        <v>0</v>
      </c>
    </row>
    <row r="10" spans="1:14">
      <c r="B10" s="148" t="s">
        <v>165</v>
      </c>
      <c r="C10" s="141"/>
      <c r="D10" s="141"/>
      <c r="E10" s="141"/>
      <c r="F10" s="141"/>
      <c r="G10" s="141"/>
      <c r="H10" s="141"/>
      <c r="I10" s="141"/>
      <c r="J10" s="138">
        <f>[1]CF!J47</f>
        <v>962</v>
      </c>
      <c r="K10" s="138">
        <f>[1]CF!K47</f>
        <v>514.22511210165885</v>
      </c>
      <c r="L10" s="138">
        <f>[1]CF!L47</f>
        <v>500</v>
      </c>
      <c r="M10" s="138">
        <f>[1]CF!M47</f>
        <v>500.00000000000045</v>
      </c>
      <c r="N10" s="138">
        <f>[1]CF!N47</f>
        <v>499.99999999992679</v>
      </c>
    </row>
    <row r="11" spans="1:14">
      <c r="B11" s="148" t="s">
        <v>166</v>
      </c>
      <c r="C11" s="141"/>
      <c r="D11" s="141"/>
      <c r="E11" s="141"/>
      <c r="F11" s="141"/>
      <c r="G11" s="141"/>
      <c r="H11" s="141"/>
      <c r="I11" s="141"/>
      <c r="J11" s="143">
        <v>-500</v>
      </c>
      <c r="K11" s="143">
        <v>-500</v>
      </c>
      <c r="L11" s="143">
        <v>-500</v>
      </c>
      <c r="M11" s="143">
        <v>-500</v>
      </c>
      <c r="N11" s="143">
        <v>-500</v>
      </c>
    </row>
    <row r="12" spans="1:14">
      <c r="B12" s="23" t="s">
        <v>167</v>
      </c>
      <c r="C12" s="141"/>
      <c r="D12" s="141"/>
      <c r="E12" s="141"/>
      <c r="F12" s="141"/>
      <c r="G12" s="141"/>
      <c r="H12" s="141"/>
      <c r="I12" s="141"/>
      <c r="J12" s="149">
        <f>SUM(J6:J11)</f>
        <v>909.22511210165885</v>
      </c>
      <c r="K12" s="149">
        <f t="shared" ref="K12:N12" si="0">SUM(K6:K11)</f>
        <v>-448.62553786773196</v>
      </c>
      <c r="L12" s="149">
        <f t="shared" si="0"/>
        <v>-424.70223273669922</v>
      </c>
      <c r="M12" s="149">
        <f t="shared" si="0"/>
        <v>-374.89014504416195</v>
      </c>
      <c r="N12" s="149">
        <f t="shared" si="0"/>
        <v>-327.87642684250591</v>
      </c>
    </row>
    <row r="13" spans="1:14">
      <c r="B13" s="23" t="s">
        <v>168</v>
      </c>
      <c r="C13" s="141"/>
      <c r="D13" s="141"/>
      <c r="E13" s="141"/>
      <c r="F13" s="141"/>
      <c r="G13" s="141"/>
      <c r="H13" s="141"/>
      <c r="I13" s="141"/>
      <c r="J13" s="97">
        <f>J24</f>
        <v>0</v>
      </c>
      <c r="K13" s="97">
        <f t="shared" ref="K13:N14" si="1">K24</f>
        <v>0</v>
      </c>
      <c r="L13" s="97">
        <f t="shared" si="1"/>
        <v>0</v>
      </c>
      <c r="M13" s="97">
        <f t="shared" si="1"/>
        <v>0</v>
      </c>
      <c r="N13" s="97">
        <f t="shared" si="1"/>
        <v>0</v>
      </c>
    </row>
    <row r="14" spans="1:14">
      <c r="B14" s="23" t="s">
        <v>169</v>
      </c>
      <c r="C14" s="141"/>
      <c r="D14" s="141"/>
      <c r="E14" s="141"/>
      <c r="F14" s="141"/>
      <c r="G14" s="141"/>
      <c r="H14" s="141"/>
      <c r="I14" s="141"/>
      <c r="J14" s="97">
        <f>J25</f>
        <v>-895</v>
      </c>
      <c r="K14" s="97">
        <f t="shared" si="1"/>
        <v>-491</v>
      </c>
      <c r="L14" s="97">
        <f t="shared" si="1"/>
        <v>-255</v>
      </c>
      <c r="M14" s="97">
        <f t="shared" si="1"/>
        <v>-664</v>
      </c>
      <c r="N14" s="97">
        <f t="shared" si="1"/>
        <v>-695</v>
      </c>
    </row>
    <row r="15" spans="1:14">
      <c r="B15" s="25" t="s">
        <v>170</v>
      </c>
      <c r="C15" s="136"/>
      <c r="D15" s="136"/>
      <c r="E15" s="136"/>
      <c r="F15" s="149"/>
      <c r="G15" s="149"/>
      <c r="H15" s="149"/>
      <c r="I15" s="149"/>
      <c r="J15" s="149">
        <f>J12+J13+J14</f>
        <v>14.225112101658851</v>
      </c>
      <c r="K15" s="149">
        <f t="shared" ref="K15:N15" si="2">K12+K13+K14</f>
        <v>-939.62553786773196</v>
      </c>
      <c r="L15" s="149">
        <f t="shared" si="2"/>
        <v>-679.70223273669922</v>
      </c>
      <c r="M15" s="149">
        <f t="shared" si="2"/>
        <v>-1038.890145044162</v>
      </c>
      <c r="N15" s="149">
        <f t="shared" si="2"/>
        <v>-1022.8764268425059</v>
      </c>
    </row>
    <row r="16" spans="1:14">
      <c r="B16" s="23"/>
      <c r="C16" s="97"/>
      <c r="D16" s="97"/>
      <c r="E16" s="97"/>
      <c r="F16" s="97"/>
      <c r="G16" s="97"/>
      <c r="H16" s="97"/>
      <c r="I16" s="97"/>
      <c r="J16" s="97"/>
      <c r="K16" s="97"/>
      <c r="L16" s="97"/>
    </row>
    <row r="17" spans="2:15">
      <c r="B17" s="92" t="s">
        <v>171</v>
      </c>
      <c r="C17" s="97"/>
      <c r="D17" s="97"/>
      <c r="E17" s="97"/>
      <c r="F17" s="97"/>
      <c r="G17" s="97"/>
      <c r="H17" s="97"/>
      <c r="I17" s="97"/>
      <c r="J17" s="97"/>
      <c r="K17" s="97"/>
      <c r="L17" s="97"/>
    </row>
    <row r="18" spans="2:15">
      <c r="B18" s="23" t="s">
        <v>172</v>
      </c>
      <c r="C18" s="97"/>
      <c r="D18" s="97"/>
      <c r="E18" s="97"/>
      <c r="F18" s="97"/>
      <c r="G18" s="97"/>
      <c r="H18" s="97"/>
      <c r="I18" s="97"/>
      <c r="J18" s="97">
        <f>I20</f>
        <v>0</v>
      </c>
      <c r="K18" s="97">
        <f t="shared" ref="K18:N18" si="3">J20</f>
        <v>0</v>
      </c>
      <c r="L18" s="97">
        <f t="shared" si="3"/>
        <v>939.62553786773196</v>
      </c>
      <c r="M18" s="97">
        <f t="shared" si="3"/>
        <v>1619.3277706044312</v>
      </c>
      <c r="N18" s="97">
        <f t="shared" si="3"/>
        <v>2658.2179156485931</v>
      </c>
      <c r="O18" s="97"/>
    </row>
    <row r="19" spans="2:15">
      <c r="B19" s="23" t="s">
        <v>173</v>
      </c>
      <c r="C19" s="97"/>
      <c r="D19" s="97"/>
      <c r="E19" s="97"/>
      <c r="F19" s="97"/>
      <c r="G19" s="97"/>
      <c r="H19" s="97"/>
      <c r="I19" s="97"/>
      <c r="J19" s="97">
        <f>IF(J15&lt;0,-J15,-MIN(J15,J18))</f>
        <v>0</v>
      </c>
      <c r="K19" s="97">
        <f t="shared" ref="K19:N19" si="4">IF(K15&lt;0,-K15,-MIN(K15,K18))</f>
        <v>939.62553786773196</v>
      </c>
      <c r="L19" s="97">
        <f t="shared" si="4"/>
        <v>679.70223273669922</v>
      </c>
      <c r="M19" s="97">
        <f t="shared" si="4"/>
        <v>1038.890145044162</v>
      </c>
      <c r="N19" s="97">
        <f t="shared" si="4"/>
        <v>1022.8764268425059</v>
      </c>
      <c r="O19" s="97"/>
    </row>
    <row r="20" spans="2:15">
      <c r="B20" s="23" t="s">
        <v>174</v>
      </c>
      <c r="C20" s="138"/>
      <c r="D20" s="138"/>
      <c r="E20" s="138"/>
      <c r="F20" s="97"/>
      <c r="G20" s="97"/>
      <c r="H20" s="97"/>
      <c r="I20" s="97">
        <v>0</v>
      </c>
      <c r="J20" s="97">
        <f>SUM(J18:J19)</f>
        <v>0</v>
      </c>
      <c r="K20" s="97">
        <f t="shared" ref="K20:N20" si="5">SUM(K18:K19)</f>
        <v>939.62553786773196</v>
      </c>
      <c r="L20" s="97">
        <f t="shared" si="5"/>
        <v>1619.3277706044312</v>
      </c>
      <c r="M20" s="97">
        <f t="shared" si="5"/>
        <v>2658.2179156485931</v>
      </c>
      <c r="N20" s="97">
        <f t="shared" si="5"/>
        <v>3681.0943424910993</v>
      </c>
      <c r="O20" s="97"/>
    </row>
    <row r="21" spans="2:15">
      <c r="B21" s="23"/>
      <c r="C21" s="97"/>
      <c r="D21" s="97"/>
      <c r="E21" s="97"/>
      <c r="F21" s="97"/>
      <c r="G21" s="97"/>
      <c r="H21" s="97"/>
      <c r="I21" s="97"/>
      <c r="J21" s="97"/>
      <c r="K21" s="97"/>
      <c r="L21" s="97"/>
    </row>
    <row r="22" spans="2:15">
      <c r="B22" s="92" t="s">
        <v>175</v>
      </c>
      <c r="C22" s="97"/>
      <c r="D22" s="97"/>
      <c r="E22" s="97"/>
      <c r="F22" s="97"/>
      <c r="G22" s="97"/>
      <c r="H22" s="97"/>
      <c r="I22" s="97"/>
      <c r="J22" s="97"/>
      <c r="K22" s="97"/>
      <c r="L22" s="97"/>
    </row>
    <row r="23" spans="2:15">
      <c r="B23" s="23" t="s">
        <v>172</v>
      </c>
      <c r="C23" s="97"/>
      <c r="D23" s="97"/>
      <c r="E23" s="97"/>
      <c r="F23" s="97"/>
      <c r="G23" s="97"/>
      <c r="H23" s="97"/>
      <c r="I23" s="97"/>
      <c r="J23" s="97">
        <f>I26</f>
        <v>5644</v>
      </c>
      <c r="K23" s="97">
        <f t="shared" ref="K23:N23" si="6">J26</f>
        <v>4749</v>
      </c>
      <c r="L23" s="97">
        <f t="shared" si="6"/>
        <v>4258</v>
      </c>
      <c r="M23" s="97">
        <f t="shared" si="6"/>
        <v>4003</v>
      </c>
      <c r="N23" s="97">
        <f t="shared" si="6"/>
        <v>3339</v>
      </c>
    </row>
    <row r="24" spans="2:15">
      <c r="B24" s="23" t="s">
        <v>176</v>
      </c>
      <c r="C24" s="97"/>
      <c r="D24" s="97"/>
      <c r="E24" s="97"/>
      <c r="F24" s="150"/>
      <c r="G24" s="150"/>
      <c r="H24" s="150"/>
      <c r="I24" s="226"/>
      <c r="J24" s="226"/>
      <c r="K24" s="226"/>
      <c r="L24" s="226"/>
      <c r="M24" s="226"/>
      <c r="N24" s="226"/>
    </row>
    <row r="25" spans="2:15">
      <c r="B25" s="23" t="s">
        <v>177</v>
      </c>
      <c r="C25" s="97"/>
      <c r="D25" s="97"/>
      <c r="E25" s="97"/>
      <c r="F25" s="151"/>
      <c r="G25" s="151"/>
      <c r="H25" s="151"/>
      <c r="I25" s="227"/>
      <c r="J25" s="151">
        <v>-895</v>
      </c>
      <c r="K25" s="151">
        <v>-491</v>
      </c>
      <c r="L25" s="151">
        <v>-255</v>
      </c>
      <c r="M25" s="227">
        <v>-664</v>
      </c>
      <c r="N25" s="227">
        <v>-695</v>
      </c>
      <c r="O25" s="226"/>
    </row>
    <row r="26" spans="2:15">
      <c r="B26" s="23" t="s">
        <v>174</v>
      </c>
      <c r="C26" s="138"/>
      <c r="D26" s="138"/>
      <c r="E26" s="138"/>
      <c r="F26" s="97"/>
      <c r="G26" s="97"/>
      <c r="H26" s="97"/>
      <c r="I26" s="136">
        <f>[2]BS!I32+[2]BS!I24</f>
        <v>5644</v>
      </c>
      <c r="J26" s="136">
        <f>SUM(J23:J25)</f>
        <v>4749</v>
      </c>
      <c r="K26" s="136">
        <f t="shared" ref="K26:N26" si="7">SUM(K23:K25)</f>
        <v>4258</v>
      </c>
      <c r="L26" s="136">
        <f t="shared" si="7"/>
        <v>4003</v>
      </c>
      <c r="M26" s="136">
        <f t="shared" si="7"/>
        <v>3339</v>
      </c>
      <c r="N26" s="136">
        <f t="shared" si="7"/>
        <v>2644</v>
      </c>
    </row>
    <row r="27" spans="2:15">
      <c r="B27" s="23"/>
      <c r="C27" s="23"/>
      <c r="D27" s="23"/>
      <c r="E27" s="23"/>
      <c r="F27" s="23"/>
      <c r="G27" s="23"/>
      <c r="H27" s="23"/>
      <c r="I27" s="233"/>
      <c r="J27" s="233"/>
      <c r="K27" s="233"/>
      <c r="L27" s="233"/>
      <c r="M27" s="249"/>
      <c r="N27" s="249"/>
    </row>
    <row r="28" spans="2:15">
      <c r="B28" s="23" t="s">
        <v>175</v>
      </c>
      <c r="C28" s="23"/>
      <c r="D28" s="23"/>
      <c r="E28" s="23"/>
      <c r="F28" s="23"/>
      <c r="G28" s="23"/>
      <c r="H28" s="23"/>
      <c r="I28" s="233"/>
      <c r="J28" s="255">
        <f>J26+K25</f>
        <v>4258</v>
      </c>
      <c r="K28" s="255">
        <f t="shared" ref="K28:N28" si="8">K26+L25</f>
        <v>4003</v>
      </c>
      <c r="L28" s="255">
        <f t="shared" si="8"/>
        <v>3339</v>
      </c>
      <c r="M28" s="255">
        <f t="shared" si="8"/>
        <v>2644</v>
      </c>
      <c r="N28" s="255">
        <f t="shared" si="8"/>
        <v>2644</v>
      </c>
    </row>
    <row r="29" spans="2:15">
      <c r="B29" s="23" t="s">
        <v>212</v>
      </c>
      <c r="C29" s="23"/>
      <c r="D29" s="23"/>
      <c r="E29" s="23"/>
      <c r="F29" s="23"/>
      <c r="G29" s="23"/>
      <c r="H29" s="23"/>
      <c r="I29" s="233"/>
      <c r="J29" s="256">
        <f>-K25</f>
        <v>491</v>
      </c>
      <c r="K29" s="256">
        <f t="shared" ref="K29:N29" si="9">-L25</f>
        <v>255</v>
      </c>
      <c r="L29" s="256">
        <f t="shared" si="9"/>
        <v>664</v>
      </c>
      <c r="M29" s="256">
        <f t="shared" si="9"/>
        <v>695</v>
      </c>
      <c r="N29" s="256">
        <f t="shared" si="9"/>
        <v>0</v>
      </c>
    </row>
    <row r="30" spans="2:15">
      <c r="B30" s="23"/>
      <c r="C30" s="23"/>
      <c r="D30" s="23"/>
      <c r="E30" s="23"/>
      <c r="F30" s="23"/>
      <c r="G30" s="23"/>
      <c r="H30" s="23"/>
      <c r="I30" s="233"/>
      <c r="J30" s="233"/>
      <c r="K30" s="233"/>
      <c r="L30" s="233"/>
      <c r="M30" s="249"/>
      <c r="N30" s="249"/>
    </row>
    <row r="31" spans="2:15">
      <c r="B31" s="23"/>
      <c r="C31" s="23"/>
      <c r="D31" s="23"/>
      <c r="E31" s="23"/>
      <c r="F31" s="23"/>
      <c r="G31" s="23"/>
      <c r="H31" s="23"/>
      <c r="I31" s="233"/>
      <c r="J31" s="233"/>
      <c r="K31" s="233"/>
      <c r="L31" s="233"/>
      <c r="M31" s="249"/>
      <c r="N31" s="249"/>
    </row>
    <row r="32" spans="2:15">
      <c r="B32" s="23"/>
      <c r="C32" s="23"/>
      <c r="D32" s="23"/>
      <c r="E32" s="23"/>
      <c r="F32" s="23"/>
      <c r="G32" s="23"/>
      <c r="H32" s="23"/>
      <c r="I32" s="233"/>
      <c r="J32" s="233"/>
      <c r="K32" s="233"/>
      <c r="L32" s="233"/>
      <c r="M32" s="249"/>
      <c r="N32" s="249"/>
    </row>
    <row r="33" spans="2:14">
      <c r="B33" s="92" t="s">
        <v>171</v>
      </c>
      <c r="C33" s="23"/>
      <c r="E33" s="23"/>
      <c r="F33" s="23" t="s">
        <v>178</v>
      </c>
      <c r="G33" s="152"/>
      <c r="H33" s="152"/>
      <c r="I33" s="256"/>
      <c r="J33" s="256">
        <f>AVERAGE(I20:J20)</f>
        <v>0</v>
      </c>
      <c r="K33" s="256">
        <f t="shared" ref="K33:N33" si="10">AVERAGE(J20:K20)</f>
        <v>469.81276893386598</v>
      </c>
      <c r="L33" s="256">
        <f t="shared" si="10"/>
        <v>1279.4766542360817</v>
      </c>
      <c r="M33" s="256">
        <f t="shared" si="10"/>
        <v>2138.7728431265123</v>
      </c>
      <c r="N33" s="256">
        <f t="shared" si="10"/>
        <v>3169.6561290698464</v>
      </c>
    </row>
    <row r="34" spans="2:14">
      <c r="B34" s="23"/>
      <c r="C34" s="23"/>
      <c r="E34" s="23"/>
      <c r="F34" s="23" t="s">
        <v>179</v>
      </c>
      <c r="G34" s="144"/>
      <c r="H34" s="144"/>
      <c r="I34" s="257"/>
      <c r="J34" s="194">
        <v>1.4999999999999999E-2</v>
      </c>
      <c r="K34" s="194">
        <v>1.4999999999999999E-2</v>
      </c>
      <c r="L34" s="194">
        <v>1.4999999999999999E-2</v>
      </c>
      <c r="M34" s="194">
        <v>1.4999999999999999E-2</v>
      </c>
      <c r="N34" s="194">
        <v>1.4999999999999999E-2</v>
      </c>
    </row>
    <row r="35" spans="2:14">
      <c r="B35" s="23"/>
      <c r="C35" s="23"/>
      <c r="E35" s="23"/>
      <c r="F35" s="23" t="s">
        <v>180</v>
      </c>
      <c r="G35" s="152"/>
      <c r="H35" s="152"/>
      <c r="I35" s="256"/>
      <c r="J35" s="256">
        <f>J34*J33</f>
        <v>0</v>
      </c>
      <c r="K35" s="256">
        <f t="shared" ref="K35:N35" si="11">K34*K33</f>
        <v>7.0471915340079896</v>
      </c>
      <c r="L35" s="256">
        <f t="shared" si="11"/>
        <v>19.192149813541224</v>
      </c>
      <c r="M35" s="256">
        <f t="shared" si="11"/>
        <v>32.081592646897683</v>
      </c>
      <c r="N35" s="256">
        <f t="shared" si="11"/>
        <v>47.544841936047696</v>
      </c>
    </row>
    <row r="36" spans="2:14">
      <c r="B36" s="23"/>
      <c r="C36" s="23"/>
      <c r="E36" s="23"/>
      <c r="F36" s="23"/>
      <c r="G36" s="23"/>
      <c r="H36" s="23"/>
      <c r="I36" s="233"/>
      <c r="J36" s="233"/>
      <c r="K36" s="233"/>
      <c r="L36" s="233"/>
      <c r="M36" s="249"/>
      <c r="N36" s="249"/>
    </row>
    <row r="37" spans="2:14">
      <c r="B37" s="23"/>
      <c r="C37" s="23"/>
      <c r="E37" s="23"/>
      <c r="F37" s="23"/>
      <c r="G37" s="23"/>
      <c r="H37" s="23"/>
      <c r="I37" s="233"/>
      <c r="J37" s="233"/>
      <c r="K37" s="233"/>
      <c r="L37" s="233"/>
      <c r="M37" s="249"/>
      <c r="N37" s="249"/>
    </row>
    <row r="38" spans="2:14">
      <c r="B38" s="92" t="s">
        <v>175</v>
      </c>
      <c r="C38" s="23"/>
      <c r="E38" s="23"/>
      <c r="F38" s="23" t="s">
        <v>178</v>
      </c>
      <c r="G38" s="152"/>
      <c r="H38" s="152"/>
      <c r="I38" s="256"/>
      <c r="J38" s="256">
        <f>AVERAGE(I26:J26)</f>
        <v>5196.5</v>
      </c>
      <c r="K38" s="256">
        <f t="shared" ref="K38:N38" si="12">AVERAGE(J26:K26)</f>
        <v>4503.5</v>
      </c>
      <c r="L38" s="256">
        <f t="shared" si="12"/>
        <v>4130.5</v>
      </c>
      <c r="M38" s="256">
        <f t="shared" si="12"/>
        <v>3671</v>
      </c>
      <c r="N38" s="256">
        <f t="shared" si="12"/>
        <v>2991.5</v>
      </c>
    </row>
    <row r="39" spans="2:14">
      <c r="B39" s="23"/>
      <c r="C39" s="23"/>
      <c r="E39" s="23"/>
      <c r="F39" s="23" t="s">
        <v>179</v>
      </c>
      <c r="G39" s="144"/>
      <c r="H39" s="144"/>
      <c r="I39" s="257"/>
      <c r="J39" s="258">
        <f>J40/J38</f>
        <v>1.7319349562205332E-2</v>
      </c>
      <c r="K39" s="258">
        <f t="shared" ref="K39:N39" si="13">K40/K38</f>
        <v>1.7986010880426336E-2</v>
      </c>
      <c r="L39" s="258">
        <f t="shared" si="13"/>
        <v>1.5978695073235686E-2</v>
      </c>
      <c r="M39" s="258">
        <f t="shared" si="13"/>
        <v>1.6889131026968127E-2</v>
      </c>
      <c r="N39" s="258">
        <f t="shared" si="13"/>
        <v>1.4708340297509611E-2</v>
      </c>
    </row>
    <row r="40" spans="2:14">
      <c r="B40" s="23"/>
      <c r="C40" s="23"/>
      <c r="E40" s="23"/>
      <c r="F40" s="23" t="s">
        <v>180</v>
      </c>
      <c r="G40" s="152"/>
      <c r="H40" s="152"/>
      <c r="I40" s="256"/>
      <c r="J40" s="314">
        <v>90</v>
      </c>
      <c r="K40" s="314">
        <v>81</v>
      </c>
      <c r="L40" s="314">
        <v>66</v>
      </c>
      <c r="M40" s="314">
        <v>62</v>
      </c>
      <c r="N40" s="314">
        <v>44</v>
      </c>
    </row>
    <row r="41" spans="2:14">
      <c r="B41" s="23"/>
      <c r="C41" s="23"/>
      <c r="E41" s="23"/>
      <c r="F41" s="23"/>
      <c r="G41" s="23"/>
      <c r="H41" s="23"/>
      <c r="I41" s="233"/>
      <c r="J41" s="233"/>
      <c r="K41" s="233"/>
      <c r="L41" s="233"/>
      <c r="M41" s="249"/>
      <c r="N41" s="249"/>
    </row>
    <row r="42" spans="2:14">
      <c r="B42" s="92" t="s">
        <v>181</v>
      </c>
      <c r="C42" s="23"/>
      <c r="E42" s="23"/>
      <c r="F42" s="23"/>
      <c r="G42" s="152"/>
      <c r="H42" s="152"/>
      <c r="I42" s="256"/>
      <c r="J42" s="259">
        <f>J40+J35</f>
        <v>90</v>
      </c>
      <c r="K42" s="259">
        <f t="shared" ref="K42:N42" si="14">K40+K35</f>
        <v>88.047191534007993</v>
      </c>
      <c r="L42" s="259">
        <f t="shared" si="14"/>
        <v>85.192149813541221</v>
      </c>
      <c r="M42" s="259">
        <f t="shared" si="14"/>
        <v>94.08159264689769</v>
      </c>
      <c r="N42" s="259">
        <f t="shared" si="14"/>
        <v>91.544841936047703</v>
      </c>
    </row>
    <row r="43" spans="2:14">
      <c r="B43" s="23"/>
      <c r="C43" s="23"/>
      <c r="E43" s="23"/>
      <c r="F43" s="23"/>
      <c r="G43" s="55"/>
      <c r="H43" s="55"/>
      <c r="I43" s="260"/>
      <c r="J43" s="260"/>
      <c r="K43" s="260"/>
      <c r="L43" s="260"/>
      <c r="M43" s="249"/>
      <c r="N43" s="249"/>
    </row>
    <row r="44" spans="2:14">
      <c r="B44" s="23"/>
      <c r="C44" s="23"/>
      <c r="E44" s="23"/>
      <c r="F44" s="23"/>
      <c r="G44" s="55"/>
      <c r="H44" s="55"/>
      <c r="I44" s="260"/>
      <c r="J44" s="260"/>
      <c r="K44" s="260"/>
      <c r="L44" s="260"/>
      <c r="M44" s="249"/>
      <c r="N44" s="249"/>
    </row>
    <row r="45" spans="2:14">
      <c r="B45" s="92" t="s">
        <v>182</v>
      </c>
      <c r="C45" s="23"/>
      <c r="E45" s="23"/>
      <c r="F45" s="23" t="s">
        <v>178</v>
      </c>
      <c r="G45" s="152"/>
      <c r="H45" s="152"/>
      <c r="I45" s="256"/>
      <c r="J45" s="256">
        <f>AVERAGE([1]CF!I48:J48)</f>
        <v>738.11255605082943</v>
      </c>
      <c r="K45" s="256">
        <f>AVERAGE([1]CF!J48:K48)</f>
        <v>507.11255605082943</v>
      </c>
      <c r="L45" s="256">
        <f>AVERAGE([1]CF!K48:L48)</f>
        <v>500</v>
      </c>
      <c r="M45" s="256">
        <f>AVERAGE([1]CF!L48:M48)</f>
        <v>500.00000000001069</v>
      </c>
      <c r="N45" s="256">
        <f>AVERAGE([1]CF!M48:N48)</f>
        <v>499.99999999998977</v>
      </c>
    </row>
    <row r="46" spans="2:14">
      <c r="B46" s="23"/>
      <c r="C46" s="23"/>
      <c r="E46" s="23"/>
      <c r="F46" s="23" t="s">
        <v>179</v>
      </c>
      <c r="G46" s="153"/>
      <c r="H46" s="153"/>
      <c r="I46" s="261"/>
      <c r="J46" s="261">
        <v>0.01</v>
      </c>
      <c r="K46" s="261">
        <v>0.01</v>
      </c>
      <c r="L46" s="261">
        <v>0.01</v>
      </c>
      <c r="M46" s="261">
        <v>0.01</v>
      </c>
      <c r="N46" s="261">
        <v>0.01</v>
      </c>
    </row>
    <row r="47" spans="2:14">
      <c r="B47" s="23"/>
      <c r="C47" s="23"/>
      <c r="E47" s="23"/>
      <c r="F47" s="23" t="s">
        <v>183</v>
      </c>
      <c r="G47" s="55"/>
      <c r="H47" s="55"/>
      <c r="I47" s="260"/>
      <c r="J47" s="260">
        <f>J45*J46</f>
        <v>7.3811255605082948</v>
      </c>
      <c r="K47" s="260">
        <f t="shared" ref="K47:N47" si="15">K45*K46</f>
        <v>5.0711255605082943</v>
      </c>
      <c r="L47" s="260">
        <f t="shared" si="15"/>
        <v>5</v>
      </c>
      <c r="M47" s="260">
        <f t="shared" si="15"/>
        <v>5.0000000000001066</v>
      </c>
      <c r="N47" s="260">
        <f t="shared" si="15"/>
        <v>4.9999999999998979</v>
      </c>
    </row>
    <row r="48" spans="2:14">
      <c r="J48" s="260"/>
      <c r="K48" s="260"/>
      <c r="L48" s="260"/>
      <c r="M48" s="249"/>
      <c r="N48" s="249"/>
    </row>
    <row r="49" spans="10:14">
      <c r="J49" s="256"/>
      <c r="K49" s="256"/>
      <c r="L49" s="256"/>
      <c r="M49" s="256"/>
      <c r="N49" s="256"/>
    </row>
    <row r="50" spans="10:14">
      <c r="J50" s="261"/>
      <c r="K50" s="261"/>
      <c r="L50" s="261"/>
      <c r="M50" s="261"/>
      <c r="N50" s="261"/>
    </row>
    <row r="51" spans="10:14">
      <c r="J51" s="260"/>
      <c r="K51" s="260"/>
      <c r="L51" s="260"/>
      <c r="M51" s="260"/>
      <c r="N51" s="260"/>
    </row>
  </sheetData>
  <pageMargins left="0.7" right="0.7" top="0.75" bottom="0.75" header="0.3" footer="0.3"/>
  <pageSetup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IS</vt:lpstr>
      <vt:lpstr>BS</vt:lpstr>
      <vt:lpstr>CF</vt:lpstr>
      <vt:lpstr>Dep Capex </vt:lpstr>
      <vt:lpstr>Amort Intangible</vt:lpstr>
      <vt:lpstr>Working Capital</vt:lpstr>
      <vt:lpstr>Other Long Term Asset Liability</vt:lpstr>
      <vt:lpstr>Shareholders Equity</vt:lpstr>
      <vt:lpstr>Shares Outstanding </vt:lpstr>
      <vt:lpstr>Debt</vt:lpstr>
    </vt:vector>
  </TitlesOfParts>
  <Company>rise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rise</dc:creator>
  <cp:lastModifiedBy>Someshwar</cp:lastModifiedBy>
  <dcterms:created xsi:type="dcterms:W3CDTF">2013-06-17T08:47:06Z</dcterms:created>
  <dcterms:modified xsi:type="dcterms:W3CDTF">2016-02-22T04:08:02Z</dcterms:modified>
</cp:coreProperties>
</file>