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mc:AlternateContent xmlns:mc="http://schemas.openxmlformats.org/markup-compatibility/2006">
    <mc:Choice Requires="x15">
      <x15ac:absPath xmlns:x15ac="http://schemas.microsoft.com/office/spreadsheetml/2010/11/ac" url="/Users/allenaravindan/Downloads/"/>
    </mc:Choice>
  </mc:AlternateContent>
  <xr:revisionPtr revIDLastSave="0" documentId="8_{557E77A8-D4A1-4F4A-BC44-0D7432BEE88D}" xr6:coauthVersionLast="47" xr6:coauthVersionMax="47" xr10:uidLastSave="{00000000-0000-0000-0000-000000000000}"/>
  <bookViews>
    <workbookView xWindow="0" yWindow="760" windowWidth="34200" windowHeight="21380" activeTab="2" xr2:uid="{00000000-000D-0000-FFFF-FFFF00000000}"/>
  </bookViews>
  <sheets>
    <sheet name="Instructions" sheetId="3" r:id="rId1"/>
    <sheet name="Model" sheetId="1" r:id="rId2"/>
    <sheet name="Variance"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0" i="1" l="1"/>
  <c r="C7" i="1"/>
  <c r="I135" i="1"/>
  <c r="D39" i="1"/>
  <c r="D38" i="1"/>
  <c r="D37" i="1"/>
  <c r="D36" i="1"/>
  <c r="D35" i="1"/>
  <c r="D53" i="1"/>
  <c r="D52" i="1"/>
  <c r="D51" i="1"/>
  <c r="D50" i="1"/>
  <c r="D49" i="1"/>
  <c r="D76" i="1"/>
  <c r="D66" i="1"/>
  <c r="D67" i="1" s="1"/>
  <c r="D70" i="1"/>
  <c r="D65" i="1"/>
  <c r="D62" i="1"/>
  <c r="D63" i="1" s="1"/>
  <c r="E150" i="1" l="1"/>
  <c r="D150" i="1"/>
  <c r="D69" i="1"/>
  <c r="D74" i="1" s="1"/>
  <c r="D81" i="1" s="1"/>
  <c r="C6" i="1"/>
  <c r="D84" i="1" l="1"/>
  <c r="D92" i="1" s="1"/>
  <c r="D83" i="1"/>
  <c r="D145" i="1" l="1"/>
  <c r="D138" i="1"/>
  <c r="D132" i="1"/>
  <c r="D123" i="1"/>
  <c r="D115" i="1"/>
  <c r="D154" i="1"/>
  <c r="D93" i="1"/>
  <c r="D96" i="1"/>
  <c r="D98" i="1"/>
  <c r="D174" i="1"/>
  <c r="D168" i="1"/>
  <c r="D156" i="1"/>
  <c r="D155" i="1"/>
  <c r="D140" i="1" l="1"/>
  <c r="D146" i="1" s="1"/>
  <c r="D125" i="1"/>
  <c r="E102" i="1" l="1"/>
  <c r="E83" i="1"/>
  <c r="E76" i="1"/>
  <c r="E172" i="1"/>
  <c r="E171" i="1"/>
  <c r="E166" i="1"/>
  <c r="E165" i="1"/>
  <c r="E164" i="1"/>
  <c r="E163" i="1"/>
  <c r="C145" i="1"/>
  <c r="C138" i="1"/>
  <c r="E136" i="1"/>
  <c r="C132" i="1"/>
  <c r="C123" i="1"/>
  <c r="C115" i="1"/>
  <c r="E90" i="1"/>
  <c r="E89" i="1"/>
  <c r="E88" i="1"/>
  <c r="E87" i="1"/>
  <c r="E86" i="1"/>
  <c r="E85" i="1"/>
  <c r="E75" i="1"/>
  <c r="E78" i="1"/>
  <c r="E79" i="1"/>
  <c r="E77" i="1"/>
  <c r="C140" i="1" l="1"/>
  <c r="C146" i="1" s="1"/>
  <c r="C125" i="1"/>
  <c r="D27" i="1"/>
  <c r="C174" i="1" l="1"/>
  <c r="E170" i="1"/>
  <c r="C168" i="1"/>
  <c r="E156" i="1"/>
  <c r="C156" i="1"/>
  <c r="C154" i="1"/>
  <c r="E144" i="1"/>
  <c r="C9" i="1" s="1"/>
  <c r="E142" i="1"/>
  <c r="E137" i="1"/>
  <c r="E135" i="1"/>
  <c r="C12" i="1" s="1"/>
  <c r="E134" i="1"/>
  <c r="E127" i="1"/>
  <c r="E122" i="1"/>
  <c r="E121" i="1"/>
  <c r="E120" i="1"/>
  <c r="E119" i="1"/>
  <c r="E118" i="1"/>
  <c r="C11" i="1" s="1"/>
  <c r="E108" i="1"/>
  <c r="C10" i="1" s="1"/>
  <c r="E97" i="1"/>
  <c r="E98" i="1" s="1"/>
  <c r="E95" i="1"/>
  <c r="E96" i="1" s="1"/>
  <c r="E93" i="1"/>
  <c r="C54" i="1"/>
  <c r="C69" i="1" s="1"/>
  <c r="C53" i="1"/>
  <c r="C52" i="1"/>
  <c r="C51" i="1"/>
  <c r="C50" i="1"/>
  <c r="C49" i="1"/>
  <c r="C40" i="1"/>
  <c r="E33" i="1"/>
  <c r="E47" i="1" s="1"/>
  <c r="E32" i="1"/>
  <c r="E46" i="1" s="1"/>
  <c r="E31" i="1"/>
  <c r="E45" i="1" s="1"/>
  <c r="E30" i="1"/>
  <c r="E44" i="1" s="1"/>
  <c r="E27" i="1"/>
  <c r="C27" i="1"/>
  <c r="E173" i="1" l="1"/>
  <c r="C13" i="1"/>
  <c r="D114" i="1"/>
  <c r="D162" i="1"/>
  <c r="E162" i="1" s="1"/>
  <c r="D131" i="1"/>
  <c r="E131" i="1" s="1"/>
  <c r="D110" i="1"/>
  <c r="E110" i="1" s="1"/>
  <c r="D6" i="2"/>
  <c r="C59" i="1"/>
  <c r="D60" i="1" s="1"/>
  <c r="D7" i="2"/>
  <c r="C74" i="1"/>
  <c r="C81" i="1" s="1"/>
  <c r="C55" i="1"/>
  <c r="E167" i="1"/>
  <c r="E174" i="1"/>
  <c r="E138" i="1"/>
  <c r="E158" i="1"/>
  <c r="D153" i="1" l="1"/>
  <c r="D159" i="1" s="1"/>
  <c r="D129" i="1"/>
  <c r="E129" i="1" s="1"/>
  <c r="D112" i="1"/>
  <c r="E112" i="1" s="1"/>
  <c r="D9" i="2"/>
  <c r="C65" i="1"/>
  <c r="C114" i="1"/>
  <c r="C110" i="1"/>
  <c r="C162" i="1"/>
  <c r="C131" i="1"/>
  <c r="C61" i="1"/>
  <c r="C63" i="1"/>
  <c r="C67" i="1"/>
  <c r="F9" i="2"/>
  <c r="D100" i="1" l="1"/>
  <c r="D101" i="1"/>
  <c r="D177" i="1"/>
  <c r="C112" i="1"/>
  <c r="C129" i="1"/>
  <c r="C84" i="1"/>
  <c r="C83" i="1"/>
  <c r="F11" i="2"/>
  <c r="C92" i="1" l="1"/>
  <c r="D11" i="2" s="1"/>
  <c r="F12" i="2"/>
  <c r="E70" i="1"/>
  <c r="C153" i="1" l="1"/>
  <c r="C159" i="1" s="1"/>
  <c r="C101" i="1"/>
  <c r="C100" i="1"/>
  <c r="D12" i="2"/>
  <c r="E154" i="1"/>
  <c r="C177" i="1" l="1"/>
  <c r="D54" i="1" l="1"/>
  <c r="D41" i="1"/>
  <c r="F6" i="2" l="1"/>
  <c r="D55" i="1"/>
  <c r="F7" i="2"/>
  <c r="E29" i="1" l="1"/>
  <c r="E43" i="1" s="1"/>
  <c r="E54" i="1" s="1"/>
  <c r="E40" i="1" l="1"/>
  <c r="E59" i="1" s="1"/>
  <c r="E64" i="1" s="1"/>
  <c r="E161" i="1"/>
  <c r="E60" i="1"/>
  <c r="E109" i="1"/>
  <c r="E62" i="1"/>
  <c r="E61" i="1" s="1"/>
  <c r="E130" i="1"/>
  <c r="E113" i="1"/>
  <c r="E55" i="1"/>
  <c r="E69" i="1"/>
  <c r="E74" i="1" s="1"/>
  <c r="E41" i="1"/>
  <c r="E128" i="1" l="1"/>
  <c r="E132" i="1" s="1"/>
  <c r="E140" i="1" s="1"/>
  <c r="E111" i="1"/>
  <c r="E157" i="1" s="1"/>
  <c r="E81" i="1"/>
  <c r="E66" i="1"/>
  <c r="E67" i="1" s="1"/>
  <c r="E168" i="1"/>
  <c r="E117" i="1"/>
  <c r="E123" i="1" s="1"/>
  <c r="E82" i="1" l="1"/>
  <c r="E84" i="1" s="1"/>
  <c r="E92" i="1" l="1"/>
  <c r="E153" i="1" l="1"/>
  <c r="E100" i="1"/>
  <c r="E101" i="1"/>
  <c r="E143" i="1" l="1"/>
  <c r="E145" i="1" s="1"/>
  <c r="E159" i="1"/>
  <c r="E177" i="1" l="1"/>
  <c r="E107" i="1" s="1"/>
  <c r="E146" i="1"/>
  <c r="C8" i="1" l="1"/>
  <c r="C14" i="1" s="1"/>
  <c r="E115" i="1"/>
  <c r="E125" i="1" s="1"/>
</calcChain>
</file>

<file path=xl/sharedStrings.xml><?xml version="1.0" encoding="utf-8"?>
<sst xmlns="http://schemas.openxmlformats.org/spreadsheetml/2006/main" count="218" uniqueCount="173">
  <si>
    <t>Earnings Variance Table</t>
  </si>
  <si>
    <t>Actual</t>
  </si>
  <si>
    <t>Analyst Est</t>
  </si>
  <si>
    <t>Consensus</t>
  </si>
  <si>
    <t>USD Million</t>
  </si>
  <si>
    <t>vs. Analyst Est</t>
  </si>
  <si>
    <t>vs. Consenus</t>
  </si>
  <si>
    <t>Revenue</t>
  </si>
  <si>
    <t>Maritime</t>
  </si>
  <si>
    <t>Government</t>
  </si>
  <si>
    <t>Aviation</t>
  </si>
  <si>
    <t>Enterprise</t>
  </si>
  <si>
    <t>Central services</t>
  </si>
  <si>
    <t>EBITDA</t>
  </si>
  <si>
    <t>margin</t>
  </si>
  <si>
    <t>EBIT</t>
  </si>
  <si>
    <t>Net Profit</t>
  </si>
  <si>
    <t>EPS</t>
  </si>
  <si>
    <t>Inmarsat Plc</t>
  </si>
  <si>
    <t xml:space="preserve">Enterprise Valuation </t>
  </si>
  <si>
    <t xml:space="preserve">    Share Price (GBP)</t>
  </si>
  <si>
    <t xml:space="preserve">    Exchange rate</t>
  </si>
  <si>
    <t xml:space="preserve">    No. of shares used to calculate mkt cap (m)</t>
  </si>
  <si>
    <t>Total Market Cap (USDm)</t>
  </si>
  <si>
    <t>Net Debt</t>
  </si>
  <si>
    <t>Minority Interests</t>
  </si>
  <si>
    <t>Investments</t>
  </si>
  <si>
    <t>Associates</t>
  </si>
  <si>
    <t>Pension Liabilities</t>
  </si>
  <si>
    <t>Other Obligations</t>
  </si>
  <si>
    <t>Enterprise value (USDm)</t>
  </si>
  <si>
    <t>ValuationSummary</t>
  </si>
  <si>
    <t>FY2017A</t>
  </si>
  <si>
    <t>FY2018F</t>
  </si>
  <si>
    <t>Valuation Metrics</t>
  </si>
  <si>
    <t>Share Price</t>
  </si>
  <si>
    <t>P/E (x)</t>
  </si>
  <si>
    <t>P/BV (x)</t>
  </si>
  <si>
    <t>EV/EBITDA (x)</t>
  </si>
  <si>
    <t>FCF Yield (%)</t>
  </si>
  <si>
    <t>Dividend Yield (%)</t>
  </si>
  <si>
    <t>Year Ending</t>
  </si>
  <si>
    <t>FY2016</t>
  </si>
  <si>
    <t>FY2017</t>
  </si>
  <si>
    <t>FY2018</t>
  </si>
  <si>
    <t>(USDm)</t>
  </si>
  <si>
    <t>A</t>
  </si>
  <si>
    <t>F</t>
  </si>
  <si>
    <t>Revenue &amp; Cost Model</t>
  </si>
  <si>
    <t>Segmental Sales</t>
  </si>
  <si>
    <t>YoY Growth</t>
  </si>
  <si>
    <t>na</t>
  </si>
  <si>
    <t>Sales</t>
  </si>
  <si>
    <t>% growth</t>
  </si>
  <si>
    <t>EBITDA Margin</t>
  </si>
  <si>
    <t>Total EBITDA</t>
  </si>
  <si>
    <t>Overall margin %</t>
  </si>
  <si>
    <t>Income Statement</t>
  </si>
  <si>
    <t>Net sales</t>
  </si>
  <si>
    <t>Net sales growth (%)</t>
  </si>
  <si>
    <t>Cost of sales</t>
  </si>
  <si>
    <t>Gross profit</t>
  </si>
  <si>
    <t>Gross profit (%)</t>
  </si>
  <si>
    <t>Selling, general &amp; administrative</t>
  </si>
  <si>
    <t>as a % of sales (%)</t>
  </si>
  <si>
    <t>Other operating income / (expense)</t>
  </si>
  <si>
    <t>as % of sales</t>
  </si>
  <si>
    <t>Depreciation</t>
  </si>
  <si>
    <t xml:space="preserve">      as a % of net fixed and intangible assets (%)</t>
  </si>
  <si>
    <t>Amortization</t>
  </si>
  <si>
    <t>Investment income</t>
  </si>
  <si>
    <t>Net interest income / (expense)</t>
  </si>
  <si>
    <t>Other non-operating income / (expense)</t>
  </si>
  <si>
    <t>Share of associates' / JVs' equity accounted profit / (loss) (pre-tax)</t>
  </si>
  <si>
    <t>Exceptional / extraordinary gain / (loss) (pre-tax)</t>
  </si>
  <si>
    <t>PBT</t>
  </si>
  <si>
    <t>Taxes on income</t>
  </si>
  <si>
    <t>Tax rate %</t>
  </si>
  <si>
    <t>PAT</t>
  </si>
  <si>
    <t>Share of associates' / JVs' equity accounted profit / (loss) (post-tax)</t>
  </si>
  <si>
    <t>Amortization/impairment of goodwill (if shown post-tax)</t>
  </si>
  <si>
    <t>Exceptional / extraordinary gain / (loss) (post-tax)</t>
  </si>
  <si>
    <t>Other post tax income / (charges)</t>
  </si>
  <si>
    <t>Minority interests</t>
  </si>
  <si>
    <t>Preference dividends</t>
  </si>
  <si>
    <t>Net profit post-minorities</t>
  </si>
  <si>
    <t>Net profit dilution</t>
  </si>
  <si>
    <t>Basic number of shares outstanding</t>
  </si>
  <si>
    <t>Basic number of shares – average</t>
  </si>
  <si>
    <t>Diluted number of shares outstanding</t>
  </si>
  <si>
    <t>Diluted number of shares – average</t>
  </si>
  <si>
    <t>Basic EPS</t>
  </si>
  <si>
    <t>Fully Diluted EPS</t>
  </si>
  <si>
    <t>DPS - adjusted for split and bonus</t>
  </si>
  <si>
    <t>Dividend payout (%)</t>
  </si>
  <si>
    <t>Balance Sheet</t>
  </si>
  <si>
    <t>Cash &amp; cash equivalents</t>
  </si>
  <si>
    <t>Investments - current</t>
  </si>
  <si>
    <t>Accounts receivable</t>
  </si>
  <si>
    <t>Inventories &amp; WIP</t>
  </si>
  <si>
    <t>as a % of cost of sales (%)</t>
  </si>
  <si>
    <t>Other current assets</t>
  </si>
  <si>
    <t>Total current assets</t>
  </si>
  <si>
    <t>Net tangible fixed assets</t>
  </si>
  <si>
    <t>Associates &amp; affiliates</t>
  </si>
  <si>
    <t>Long term financial assets</t>
  </si>
  <si>
    <t>Net goodwill</t>
  </si>
  <si>
    <t>Net intangibles</t>
  </si>
  <si>
    <t>Other non-current assets</t>
  </si>
  <si>
    <t>Total non-current assets</t>
  </si>
  <si>
    <t>Total assets</t>
  </si>
  <si>
    <t>Short term financing liabilities</t>
  </si>
  <si>
    <t>Accounts payable</t>
  </si>
  <si>
    <t>Other short term non-financing liabilities</t>
  </si>
  <si>
    <t>Total current liabilities</t>
  </si>
  <si>
    <t>Long term financing liabilities (inc. pref capital treated as debt)</t>
  </si>
  <si>
    <t>Post-employment obligations</t>
  </si>
  <si>
    <t>Other provisions</t>
  </si>
  <si>
    <t>Other long-term liabilities</t>
  </si>
  <si>
    <t>Total non-current liabilities</t>
  </si>
  <si>
    <t>Total liabilities</t>
  </si>
  <si>
    <t>Shareholders' funds (exc. pref capital treated as equity)</t>
  </si>
  <si>
    <t>Other equity capital</t>
  </si>
  <si>
    <t>Minorities</t>
  </si>
  <si>
    <t>Stated equity capital (inc MI)</t>
  </si>
  <si>
    <t>Total liabilities &amp; shareholders' funds</t>
  </si>
  <si>
    <t>BV net debt</t>
  </si>
  <si>
    <t>Net working capital</t>
  </si>
  <si>
    <t>Cash Flow</t>
  </si>
  <si>
    <t>Reported net profit (as per P&amp;L)</t>
  </si>
  <si>
    <r>
      <rPr>
        <u/>
        <sz val="10"/>
        <color theme="1"/>
        <rFont val="Arial"/>
        <family val="2"/>
      </rPr>
      <t>add back</t>
    </r>
    <r>
      <rPr>
        <sz val="10"/>
        <color theme="1"/>
        <rFont val="Arial"/>
        <family val="2"/>
      </rPr>
      <t xml:space="preserve"> depreciation / amortization (as per P&amp;L)</t>
    </r>
  </si>
  <si>
    <r>
      <rPr>
        <u/>
        <sz val="10"/>
        <color theme="1"/>
        <rFont val="Arial"/>
        <family val="2"/>
      </rPr>
      <t>add back</t>
    </r>
    <r>
      <rPr>
        <sz val="10"/>
        <color theme="1"/>
        <rFont val="Arial"/>
        <family val="2"/>
      </rPr>
      <t xml:space="preserve"> share of associates / JV's (as per P&amp;L)</t>
    </r>
  </si>
  <si>
    <r>
      <rPr>
        <u/>
        <sz val="10"/>
        <color theme="1"/>
        <rFont val="Arial"/>
        <family val="2"/>
      </rPr>
      <t>add back</t>
    </r>
    <r>
      <rPr>
        <sz val="10"/>
        <color theme="1"/>
        <rFont val="Arial"/>
        <family val="2"/>
      </rPr>
      <t xml:space="preserve"> minorities (as per P&amp;L)</t>
    </r>
  </si>
  <si>
    <t>Decrease / (increase) in net working capital</t>
  </si>
  <si>
    <t>Reversal of Non-cash profit / (loss)</t>
  </si>
  <si>
    <t>Operating cash flow (post interest &amp; tax, pre capex &amp; divs paid)</t>
  </si>
  <si>
    <t>Capital expenditure, (tangible)</t>
  </si>
  <si>
    <t>Purchase/sale of intangibles (+/-)</t>
  </si>
  <si>
    <t>Disposals of property, plant &amp; equipment (tangible and intangible)</t>
  </si>
  <si>
    <t>Acquisitions of subsidiaries, associates &amp; investments</t>
  </si>
  <si>
    <t>Disposals of subsidiaries, associates &amp; investments</t>
  </si>
  <si>
    <t>Other investment inflows / (outflows)</t>
  </si>
  <si>
    <t>Cashflow from investing activities</t>
  </si>
  <si>
    <t>Dividends paid</t>
  </si>
  <si>
    <t>Share capital issuance / (buy-back)</t>
  </si>
  <si>
    <t>Debt issuance / (repayment)</t>
  </si>
  <si>
    <t>Other financing inflows / (outflows)</t>
  </si>
  <si>
    <t>Cashflow from financing activities</t>
  </si>
  <si>
    <t>Effects of exchange rate changes</t>
  </si>
  <si>
    <t>Cash inflow / (outflow)</t>
  </si>
  <si>
    <t>Free Cash Flow</t>
  </si>
  <si>
    <t>Instructions:</t>
  </si>
  <si>
    <r>
      <rPr>
        <sz val="11"/>
        <color theme="1"/>
        <rFont val="Symbol"/>
        <family val="1"/>
        <charset val="2"/>
      </rPr>
      <t xml:space="preserve">·    </t>
    </r>
    <r>
      <rPr>
        <sz val="11"/>
        <color theme="1"/>
        <rFont val="Calibri"/>
        <family val="2"/>
        <scheme val="minor"/>
      </rPr>
      <t>The test contains two parts – Model Update and Report on the stock ‘</t>
    </r>
    <r>
      <rPr>
        <b/>
        <sz val="11"/>
        <color theme="1"/>
        <rFont val="Calibri"/>
        <family val="2"/>
        <scheme val="minor"/>
      </rPr>
      <t>Inmarsat Plc</t>
    </r>
    <r>
      <rPr>
        <sz val="11"/>
        <color theme="1"/>
        <rFont val="Calibri"/>
        <family val="2"/>
        <scheme val="minor"/>
      </rPr>
      <t>’. Please find below the instructions for each part as a separate sub-section</t>
    </r>
  </si>
  <si>
    <r>
      <rPr>
        <sz val="11"/>
        <color theme="1"/>
        <rFont val="Symbol"/>
        <family val="1"/>
        <charset val="2"/>
      </rPr>
      <t xml:space="preserve">·    </t>
    </r>
    <r>
      <rPr>
        <sz val="11"/>
        <color theme="1"/>
        <rFont val="Calibri"/>
        <family val="2"/>
        <scheme val="minor"/>
      </rPr>
      <t>Please use relevant reports and presentations available on the company's website to populate the model and the report</t>
    </r>
  </si>
  <si>
    <r>
      <rPr>
        <sz val="11"/>
        <color theme="1"/>
        <rFont val="Symbol"/>
        <family val="1"/>
        <charset val="2"/>
      </rPr>
      <t xml:space="preserve">·    </t>
    </r>
    <r>
      <rPr>
        <sz val="11"/>
        <color theme="1"/>
        <rFont val="Calibri"/>
        <family val="2"/>
        <scheme val="minor"/>
      </rPr>
      <t>In the event of any doubts or queries, use your best judgement to interpret. Feel free to document the same appropriately as a comment</t>
    </r>
  </si>
  <si>
    <t>Model Update:</t>
  </si>
  <si>
    <t>In the couple of other tabs available in this spreadsheet, kindly do the following:</t>
  </si>
  <si>
    <t>Report:</t>
  </si>
  <si>
    <r>
      <t xml:space="preserve">Using a blank MS-Word document, kindly write a </t>
    </r>
    <r>
      <rPr>
        <b/>
        <sz val="11"/>
        <color theme="1"/>
        <rFont val="Calibri"/>
        <family val="2"/>
        <scheme val="minor"/>
      </rPr>
      <t>one-page investment case</t>
    </r>
    <r>
      <rPr>
        <sz val="11"/>
        <color theme="1"/>
        <rFont val="Calibri"/>
        <family val="2"/>
        <scheme val="minor"/>
      </rPr>
      <t xml:space="preserve"> focusing on the following</t>
    </r>
  </si>
  <si>
    <r>
      <t>·</t>
    </r>
    <r>
      <rPr>
        <sz val="7"/>
        <color theme="1"/>
        <rFont val="Times New Roman"/>
        <family val="1"/>
      </rPr>
      <t xml:space="preserve">         </t>
    </r>
    <r>
      <rPr>
        <sz val="11"/>
        <color theme="1"/>
        <rFont val="Calibri"/>
        <family val="2"/>
        <scheme val="minor"/>
      </rPr>
      <t>Investment highlights – pros and cons</t>
    </r>
  </si>
  <si>
    <t>FY2016A</t>
  </si>
  <si>
    <t>y-o-y growth (%)</t>
  </si>
  <si>
    <t>Beat / (Miss) (%)</t>
  </si>
  <si>
    <r>
      <t>·</t>
    </r>
    <r>
      <rPr>
        <sz val="7"/>
        <color theme="1"/>
        <rFont val="Times New Roman"/>
        <family val="1"/>
      </rPr>
      <t xml:space="preserve">         </t>
    </r>
    <r>
      <rPr>
        <b/>
        <i/>
        <sz val="11"/>
        <color theme="1"/>
        <rFont val="Calibri"/>
        <family val="2"/>
        <scheme val="minor"/>
      </rPr>
      <t>‘Variance’ sheet</t>
    </r>
    <r>
      <rPr>
        <sz val="11"/>
        <color theme="1"/>
        <rFont val="Calibri"/>
        <family val="2"/>
        <scheme val="minor"/>
      </rPr>
      <t xml:space="preserve"> – 
          Update the yellow highlighted cells with company reported numbers using relevant formulae where applicable</t>
    </r>
  </si>
  <si>
    <r>
      <t>·</t>
    </r>
    <r>
      <rPr>
        <sz val="7"/>
        <color theme="1"/>
        <rFont val="Times New Roman"/>
        <family val="1"/>
      </rPr>
      <t xml:space="preserve">         </t>
    </r>
    <r>
      <rPr>
        <sz val="11"/>
        <color theme="1"/>
        <rFont val="Calibri"/>
        <family val="2"/>
        <scheme val="minor"/>
      </rPr>
      <t>Analysis of the F</t>
    </r>
    <r>
      <rPr>
        <b/>
        <sz val="11"/>
        <color theme="1"/>
        <rFont val="Calibri"/>
        <family val="2"/>
        <scheme val="minor"/>
      </rPr>
      <t>Y2017 results</t>
    </r>
  </si>
  <si>
    <r>
      <t>·</t>
    </r>
    <r>
      <rPr>
        <sz val="7"/>
        <color theme="1"/>
        <rFont val="Times New Roman"/>
        <family val="1"/>
      </rPr>
      <t xml:space="preserve">         </t>
    </r>
    <r>
      <rPr>
        <sz val="11"/>
        <color theme="1"/>
        <rFont val="Calibri"/>
        <family val="2"/>
        <scheme val="minor"/>
      </rPr>
      <t xml:space="preserve">Interpretation of the </t>
    </r>
    <r>
      <rPr>
        <b/>
        <sz val="11"/>
        <color theme="1"/>
        <rFont val="Calibri"/>
        <family val="2"/>
        <scheme val="minor"/>
      </rPr>
      <t>FY 2018 guidance</t>
    </r>
    <r>
      <rPr>
        <sz val="11"/>
        <color theme="1"/>
        <rFont val="Calibri"/>
        <family val="2"/>
        <scheme val="minor"/>
      </rPr>
      <t xml:space="preserve"> and its implications on our assumptions which have been highlighted in blue in the </t>
    </r>
    <r>
      <rPr>
        <b/>
        <i/>
        <sz val="11"/>
        <color theme="1"/>
        <rFont val="Calibri"/>
        <family val="2"/>
        <scheme val="minor"/>
      </rPr>
      <t>'Model'</t>
    </r>
    <r>
      <rPr>
        <sz val="11"/>
        <color theme="1"/>
        <rFont val="Calibri"/>
        <family val="2"/>
        <scheme val="minor"/>
      </rPr>
      <t xml:space="preserve"> sheet</t>
    </r>
  </si>
  <si>
    <r>
      <t>·</t>
    </r>
    <r>
      <rPr>
        <sz val="7"/>
        <color theme="1"/>
        <rFont val="Times New Roman"/>
        <family val="1"/>
      </rPr>
      <t xml:space="preserve">         </t>
    </r>
    <r>
      <rPr>
        <b/>
        <i/>
        <sz val="11"/>
        <color theme="1"/>
        <rFont val="Calibri"/>
        <family val="2"/>
        <scheme val="minor"/>
      </rPr>
      <t>‘Model’ sheet</t>
    </r>
    <r>
      <rPr>
        <sz val="11"/>
        <color theme="1"/>
        <rFont val="Calibri"/>
        <family val="2"/>
        <scheme val="minor"/>
      </rPr>
      <t xml:space="preserve"> – 
          Update the FY2017 forecasts in the 'Revenue &amp; Cost model' and 'Income Statement' with company reported numbers. BS and CF already contain the reported numbers 
          Update the yellow highlighted cells by linking it with the appropriate line items in the model </t>
    </r>
  </si>
  <si>
    <r>
      <rPr>
        <sz val="11"/>
        <color theme="1"/>
        <rFont val="Symbol"/>
        <family val="1"/>
        <charset val="2"/>
      </rPr>
      <t xml:space="preserve">·    </t>
    </r>
    <r>
      <rPr>
        <sz val="11"/>
        <color theme="1"/>
        <rFont val="Calibri"/>
        <family val="2"/>
        <scheme val="minor"/>
      </rPr>
      <t>The time limit for the test is 2</t>
    </r>
    <r>
      <rPr>
        <b/>
        <sz val="11"/>
        <color theme="1"/>
        <rFont val="Calibri"/>
        <family val="2"/>
        <scheme val="minor"/>
      </rPr>
      <t xml:space="preserve"> hours</t>
    </r>
  </si>
  <si>
    <t>-----</t>
  </si>
  <si>
    <t>----</t>
  </si>
  <si>
    <t>Effective Tax Rate</t>
  </si>
  <si>
    <t>z</t>
  </si>
  <si>
    <t>EQUITY RESEARCH  Evaluation material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</si>
</sst>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0.0%"/>
    <numFmt numFmtId="166" formatCode="#,##0.0"/>
    <numFmt numFmtId="167" formatCode="_ * #,##0.0_ ;_ * \-#,##0.0_ ;_ * &quot;-&quot;??_ ;_ @_ "/>
    <numFmt numFmtId="168" formatCode="0.000%"/>
  </numFmts>
  <fonts count="2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2"/>
      <color theme="0"/>
      <name val="Arial"/>
      <family val="2"/>
    </font>
    <font>
      <b/>
      <sz val="10"/>
      <color theme="1"/>
      <name val="Arial"/>
      <family val="2"/>
    </font>
    <font>
      <sz val="10"/>
      <color theme="1"/>
      <name val="Arial"/>
      <family val="2"/>
    </font>
    <font>
      <sz val="8"/>
      <name val="Arial"/>
      <family val="2"/>
    </font>
    <font>
      <b/>
      <sz val="10"/>
      <color theme="0"/>
      <name val="Arial"/>
      <family val="2"/>
    </font>
    <font>
      <i/>
      <sz val="10"/>
      <color theme="1"/>
      <name val="Arial"/>
      <family val="2"/>
    </font>
    <font>
      <b/>
      <sz val="12"/>
      <color theme="1"/>
      <name val="Calibri"/>
      <family val="2"/>
      <scheme val="minor"/>
    </font>
    <font>
      <b/>
      <sz val="10"/>
      <name val="Arial"/>
      <family val="2"/>
    </font>
    <font>
      <b/>
      <sz val="9"/>
      <name val="Arial"/>
      <family val="2"/>
    </font>
    <font>
      <sz val="10"/>
      <name val="Arial"/>
      <family val="2"/>
    </font>
    <font>
      <sz val="10"/>
      <color theme="0"/>
      <name val="Arial"/>
      <family val="2"/>
    </font>
    <font>
      <b/>
      <i/>
      <sz val="10"/>
      <color rgb="FF0055AA"/>
      <name val="Arial"/>
      <family val="2"/>
    </font>
    <font>
      <b/>
      <i/>
      <sz val="10"/>
      <color theme="1"/>
      <name val="Arial"/>
      <family val="2"/>
    </font>
    <font>
      <i/>
      <sz val="10"/>
      <color rgb="FF0055AA"/>
      <name val="Arial"/>
      <family val="2"/>
    </font>
    <font>
      <i/>
      <sz val="10"/>
      <color theme="0"/>
      <name val="Arial"/>
      <family val="2"/>
    </font>
    <font>
      <sz val="10"/>
      <color theme="1"/>
      <name val="Calibri"/>
      <family val="2"/>
      <scheme val="minor"/>
    </font>
    <font>
      <u/>
      <sz val="10"/>
      <color theme="1"/>
      <name val="Arial"/>
      <family val="2"/>
    </font>
    <font>
      <b/>
      <sz val="20"/>
      <color theme="0"/>
      <name val="Arial"/>
      <family val="2"/>
    </font>
    <font>
      <sz val="11"/>
      <color theme="1"/>
      <name val="Symbol"/>
      <family val="1"/>
      <charset val="2"/>
    </font>
    <font>
      <sz val="7"/>
      <color theme="1"/>
      <name val="Times New Roman"/>
      <family val="1"/>
    </font>
    <font>
      <b/>
      <i/>
      <sz val="11"/>
      <color theme="1"/>
      <name val="Calibri"/>
      <family val="2"/>
      <scheme val="minor"/>
    </font>
    <font>
      <sz val="10"/>
      <color rgb="FFFF0000"/>
      <name val="Arial"/>
      <family val="2"/>
    </font>
    <font>
      <b/>
      <sz val="10"/>
      <color rgb="FFFF0000"/>
      <name val="Arial"/>
      <family val="2"/>
    </font>
  </fonts>
  <fills count="10">
    <fill>
      <patternFill patternType="none"/>
    </fill>
    <fill>
      <patternFill patternType="gray125"/>
    </fill>
    <fill>
      <patternFill patternType="solid">
        <fgColor theme="8" tint="0.39997558519241921"/>
        <bgColor indexed="64"/>
      </patternFill>
    </fill>
    <fill>
      <patternFill patternType="solid">
        <fgColor rgb="FFFFFF00"/>
        <bgColor indexed="64"/>
      </patternFill>
    </fill>
    <fill>
      <patternFill patternType="solid">
        <fgColor rgb="FF999999"/>
        <bgColor indexed="64"/>
      </patternFill>
    </fill>
    <fill>
      <patternFill patternType="solid">
        <fgColor theme="1"/>
        <bgColor indexed="64"/>
      </patternFill>
    </fill>
    <fill>
      <patternFill patternType="solid">
        <fgColor rgb="FF60497A"/>
        <bgColor indexed="64"/>
      </patternFill>
    </fill>
    <fill>
      <patternFill patternType="solid">
        <fgColor rgb="FF0092D0"/>
        <bgColor indexed="64"/>
      </patternFill>
    </fill>
    <fill>
      <patternFill patternType="solid">
        <fgColor theme="0" tint="-0.14999847407452621"/>
        <bgColor indexed="64"/>
      </patternFill>
    </fill>
    <fill>
      <patternFill patternType="solid">
        <fgColor theme="4" tint="-0.499984740745262"/>
        <bgColor indexed="64"/>
      </patternFill>
    </fill>
  </fills>
  <borders count="20">
    <border>
      <left/>
      <right/>
      <top/>
      <bottom/>
      <diagonal/>
    </border>
    <border>
      <left/>
      <right/>
      <top/>
      <bottom style="thin">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bottom/>
      <diagonal/>
    </border>
    <border>
      <left/>
      <right/>
      <top style="thin">
        <color auto="1"/>
      </top>
      <bottom/>
      <diagonal/>
    </border>
    <border>
      <left style="thin">
        <color indexed="64"/>
      </left>
      <right style="thin">
        <color indexed="64"/>
      </right>
      <top style="thin">
        <color indexed="64"/>
      </top>
      <bottom/>
      <diagonal/>
    </border>
  </borders>
  <cellStyleXfs count="6">
    <xf numFmtId="0" fontId="0" fillId="0" borderId="0"/>
    <xf numFmtId="9" fontId="1" fillId="0" borderId="0" applyFont="0" applyFill="0" applyBorder="0" applyAlignment="0" applyProtection="0"/>
    <xf numFmtId="0" fontId="7" fillId="0" borderId="0">
      <alignment vertical="top"/>
    </xf>
    <xf numFmtId="9" fontId="7" fillId="0" borderId="0" applyFont="0" applyFill="0" applyBorder="0" applyAlignment="0" applyProtection="0"/>
    <xf numFmtId="9" fontId="7" fillId="0" borderId="0" applyFont="0" applyFill="0" applyBorder="0" applyAlignment="0" applyProtection="0"/>
    <xf numFmtId="164" fontId="1" fillId="0" borderId="0" applyFont="0" applyFill="0" applyBorder="0" applyAlignment="0" applyProtection="0"/>
  </cellStyleXfs>
  <cellXfs count="123">
    <xf numFmtId="0" fontId="0" fillId="0" borderId="0" xfId="0"/>
    <xf numFmtId="0" fontId="4" fillId="2" borderId="0" xfId="0" applyFont="1" applyFill="1" applyAlignment="1">
      <alignment vertical="center"/>
    </xf>
    <xf numFmtId="0" fontId="3" fillId="2" borderId="0" xfId="0" applyFont="1" applyFill="1"/>
    <xf numFmtId="0" fontId="5" fillId="0" borderId="0" xfId="0" applyFont="1"/>
    <xf numFmtId="0" fontId="6" fillId="0" borderId="0" xfId="0" applyFont="1"/>
    <xf numFmtId="0" fontId="8" fillId="2" borderId="0" xfId="2" applyFont="1" applyFill="1" applyAlignment="1">
      <alignment horizontal="right" vertical="center"/>
    </xf>
    <xf numFmtId="0" fontId="8" fillId="2" borderId="0" xfId="2" applyFont="1" applyFill="1" applyAlignment="1">
      <alignment horizontal="center" vertical="center"/>
    </xf>
    <xf numFmtId="0" fontId="5" fillId="0" borderId="0" xfId="0" applyFont="1" applyAlignment="1">
      <alignment vertical="center"/>
    </xf>
    <xf numFmtId="3" fontId="5" fillId="3" borderId="0" xfId="0" applyNumberFormat="1" applyFont="1" applyFill="1" applyAlignment="1">
      <alignment vertical="center"/>
    </xf>
    <xf numFmtId="3" fontId="5" fillId="0" borderId="0" xfId="0" applyNumberFormat="1" applyFont="1" applyAlignment="1">
      <alignment vertical="center"/>
    </xf>
    <xf numFmtId="165" fontId="5" fillId="3" borderId="0" xfId="1" applyNumberFormat="1" applyFont="1" applyFill="1" applyAlignment="1">
      <alignment vertical="center"/>
    </xf>
    <xf numFmtId="3" fontId="6" fillId="3" borderId="0" xfId="0" applyNumberFormat="1" applyFont="1" applyFill="1" applyAlignment="1">
      <alignment vertical="center"/>
    </xf>
    <xf numFmtId="3" fontId="6" fillId="0" borderId="0" xfId="0" applyNumberFormat="1" applyFont="1" applyAlignment="1">
      <alignment vertical="center"/>
    </xf>
    <xf numFmtId="165" fontId="6" fillId="3" borderId="0" xfId="1" applyNumberFormat="1" applyFont="1" applyFill="1" applyAlignment="1">
      <alignment vertical="center"/>
    </xf>
    <xf numFmtId="0" fontId="9" fillId="0" borderId="0" xfId="0" applyFont="1" applyAlignment="1">
      <alignment horizontal="left" vertical="center" indent="1"/>
    </xf>
    <xf numFmtId="0" fontId="6" fillId="0" borderId="0" xfId="0" applyFont="1" applyAlignment="1">
      <alignment vertical="center"/>
    </xf>
    <xf numFmtId="0" fontId="5" fillId="0" borderId="1" xfId="0" applyFont="1" applyBorder="1" applyAlignment="1">
      <alignment vertical="center"/>
    </xf>
    <xf numFmtId="2" fontId="5" fillId="3" borderId="1" xfId="0" applyNumberFormat="1" applyFont="1" applyFill="1" applyBorder="1" applyAlignment="1">
      <alignment vertical="center"/>
    </xf>
    <xf numFmtId="2" fontId="5" fillId="0" borderId="1" xfId="0" applyNumberFormat="1" applyFont="1" applyBorder="1" applyAlignment="1">
      <alignment vertical="center"/>
    </xf>
    <xf numFmtId="0" fontId="8" fillId="2" borderId="0" xfId="2" applyFont="1" applyFill="1" applyAlignment="1">
      <alignment horizontal="left" vertical="center"/>
    </xf>
    <xf numFmtId="0" fontId="10" fillId="0" borderId="0" xfId="0" applyFont="1"/>
    <xf numFmtId="0" fontId="11" fillId="0" borderId="0" xfId="0" applyFont="1" applyAlignment="1">
      <alignment vertical="center"/>
    </xf>
    <xf numFmtId="0" fontId="12" fillId="0" borderId="0" xfId="0" applyFont="1" applyAlignment="1">
      <alignment vertical="center"/>
    </xf>
    <xf numFmtId="165" fontId="13" fillId="0" borderId="2" xfId="3" applyNumberFormat="1" applyFont="1" applyBorder="1" applyAlignment="1">
      <alignment vertical="center"/>
    </xf>
    <xf numFmtId="165" fontId="13" fillId="0" borderId="4" xfId="3" applyNumberFormat="1" applyFont="1" applyBorder="1" applyAlignment="1">
      <alignment vertical="center"/>
    </xf>
    <xf numFmtId="165" fontId="11" fillId="0" borderId="4" xfId="3" applyNumberFormat="1" applyFont="1" applyBorder="1" applyAlignment="1">
      <alignment vertical="center"/>
    </xf>
    <xf numFmtId="165" fontId="13" fillId="0" borderId="4" xfId="3" applyNumberFormat="1" applyFont="1" applyBorder="1" applyAlignment="1">
      <alignment horizontal="left" vertical="center" indent="1"/>
    </xf>
    <xf numFmtId="165" fontId="11" fillId="0" borderId="6" xfId="3" applyNumberFormat="1" applyFont="1" applyBorder="1" applyAlignment="1">
      <alignment vertical="center"/>
    </xf>
    <xf numFmtId="0" fontId="11" fillId="4" borderId="0" xfId="2" applyFont="1" applyFill="1" applyAlignment="1">
      <alignment horizontal="left" vertical="center"/>
    </xf>
    <xf numFmtId="0" fontId="13" fillId="4" borderId="0" xfId="2" applyFont="1" applyFill="1" applyAlignment="1">
      <alignment horizontal="right" vertical="center"/>
    </xf>
    <xf numFmtId="0" fontId="11" fillId="0" borderId="0" xfId="0" applyFont="1" applyAlignment="1">
      <alignment horizontal="left" vertical="center"/>
    </xf>
    <xf numFmtId="0" fontId="13" fillId="0" borderId="0" xfId="2" applyFont="1" applyAlignment="1">
      <alignment horizontal="left" vertical="center"/>
    </xf>
    <xf numFmtId="166" fontId="13" fillId="3" borderId="0" xfId="2" applyNumberFormat="1" applyFont="1" applyFill="1" applyAlignment="1">
      <alignment horizontal="right" vertical="center"/>
    </xf>
    <xf numFmtId="0" fontId="8" fillId="5" borderId="2" xfId="2" applyFont="1" applyFill="1" applyBorder="1" applyAlignment="1">
      <alignment vertical="center"/>
    </xf>
    <xf numFmtId="0" fontId="8" fillId="5" borderId="8" xfId="2" applyFont="1" applyFill="1" applyBorder="1" applyAlignment="1">
      <alignment horizontal="center" vertical="center"/>
    </xf>
    <xf numFmtId="0" fontId="8" fillId="6" borderId="8" xfId="2" applyFont="1" applyFill="1" applyBorder="1" applyAlignment="1">
      <alignment horizontal="center" vertical="center"/>
    </xf>
    <xf numFmtId="0" fontId="8" fillId="5" borderId="6" xfId="2" applyFont="1" applyFill="1" applyBorder="1" applyAlignment="1">
      <alignment vertical="center"/>
    </xf>
    <xf numFmtId="0" fontId="8" fillId="5" borderId="9" xfId="2" applyFont="1" applyFill="1" applyBorder="1" applyAlignment="1">
      <alignment horizontal="center" vertical="center"/>
    </xf>
    <xf numFmtId="0" fontId="8" fillId="6" borderId="9" xfId="2" applyFont="1" applyFill="1" applyBorder="1" applyAlignment="1">
      <alignment horizontal="center" vertical="center"/>
    </xf>
    <xf numFmtId="0" fontId="11" fillId="4" borderId="10" xfId="2" applyFont="1" applyFill="1" applyBorder="1" applyAlignment="1">
      <alignment horizontal="left" vertical="center"/>
    </xf>
    <xf numFmtId="0" fontId="11" fillId="4" borderId="11" xfId="2" applyFont="1" applyFill="1" applyBorder="1" applyAlignment="1">
      <alignment horizontal="right" vertical="center"/>
    </xf>
    <xf numFmtId="0" fontId="5" fillId="0" borderId="12" xfId="0" applyFont="1" applyBorder="1" applyAlignment="1">
      <alignment horizontal="right"/>
    </xf>
    <xf numFmtId="166" fontId="6" fillId="0" borderId="12" xfId="0" applyNumberFormat="1" applyFont="1" applyBorder="1" applyAlignment="1">
      <alignment horizontal="right"/>
    </xf>
    <xf numFmtId="0" fontId="15" fillId="0" borderId="0" xfId="0" applyFont="1"/>
    <xf numFmtId="0" fontId="16" fillId="0" borderId="12" xfId="0" applyFont="1" applyBorder="1" applyAlignment="1">
      <alignment horizontal="right"/>
    </xf>
    <xf numFmtId="0" fontId="17" fillId="0" borderId="0" xfId="0" applyFont="1" applyAlignment="1">
      <alignment horizontal="left"/>
    </xf>
    <xf numFmtId="165" fontId="17" fillId="0" borderId="12" xfId="0" applyNumberFormat="1" applyFont="1" applyBorder="1" applyAlignment="1">
      <alignment horizontal="right"/>
    </xf>
    <xf numFmtId="165" fontId="18" fillId="7" borderId="12" xfId="0" applyNumberFormat="1" applyFont="1" applyFill="1" applyBorder="1" applyAlignment="1">
      <alignment horizontal="right"/>
    </xf>
    <xf numFmtId="0" fontId="5" fillId="0" borderId="13" xfId="0" applyFont="1" applyBorder="1"/>
    <xf numFmtId="166" fontId="5" fillId="0" borderId="14" xfId="0" applyNumberFormat="1" applyFont="1" applyBorder="1" applyAlignment="1">
      <alignment horizontal="right"/>
    </xf>
    <xf numFmtId="0" fontId="17" fillId="0" borderId="0" xfId="0" applyFont="1"/>
    <xf numFmtId="0" fontId="6" fillId="0" borderId="0" xfId="0" applyFont="1" applyAlignment="1">
      <alignment horizontal="left"/>
    </xf>
    <xf numFmtId="0" fontId="15" fillId="0" borderId="12" xfId="0" applyFont="1" applyBorder="1" applyAlignment="1">
      <alignment horizontal="right"/>
    </xf>
    <xf numFmtId="0" fontId="19" fillId="0" borderId="9" xfId="0" applyFont="1" applyBorder="1"/>
    <xf numFmtId="0" fontId="19" fillId="0" borderId="15" xfId="0" applyFont="1" applyBorder="1" applyAlignment="1">
      <alignment horizontal="right"/>
    </xf>
    <xf numFmtId="0" fontId="13" fillId="0" borderId="0" xfId="2" applyFont="1" applyAlignment="1">
      <alignment vertical="center"/>
    </xf>
    <xf numFmtId="0" fontId="13" fillId="0" borderId="0" xfId="2" applyFont="1" applyAlignment="1">
      <alignment horizontal="right" vertical="center"/>
    </xf>
    <xf numFmtId="166" fontId="5" fillId="0" borderId="12" xfId="0" applyNumberFormat="1" applyFont="1" applyBorder="1" applyAlignment="1">
      <alignment horizontal="right"/>
    </xf>
    <xf numFmtId="166" fontId="5" fillId="8" borderId="12" xfId="0" applyNumberFormat="1" applyFont="1" applyFill="1" applyBorder="1" applyAlignment="1">
      <alignment horizontal="right"/>
    </xf>
    <xf numFmtId="165" fontId="17" fillId="0" borderId="0" xfId="1" applyNumberFormat="1" applyFont="1" applyBorder="1" applyAlignment="1">
      <alignment horizontal="left" indent="2"/>
    </xf>
    <xf numFmtId="165" fontId="17" fillId="0" borderId="12" xfId="1" applyNumberFormat="1" applyFont="1" applyBorder="1" applyAlignment="1" applyProtection="1">
      <alignment horizontal="right"/>
    </xf>
    <xf numFmtId="165" fontId="17" fillId="8" borderId="12" xfId="1" applyNumberFormat="1" applyFont="1" applyFill="1" applyBorder="1" applyAlignment="1" applyProtection="1">
      <alignment horizontal="right"/>
    </xf>
    <xf numFmtId="0" fontId="6" fillId="0" borderId="0" xfId="0" applyFont="1" applyAlignment="1">
      <alignment horizontal="left" indent="1"/>
    </xf>
    <xf numFmtId="166" fontId="6" fillId="8" borderId="12" xfId="0" applyNumberFormat="1" applyFont="1" applyFill="1" applyBorder="1" applyAlignment="1">
      <alignment horizontal="right"/>
    </xf>
    <xf numFmtId="0" fontId="6" fillId="0" borderId="1" xfId="0" applyFont="1" applyBorder="1"/>
    <xf numFmtId="0" fontId="6" fillId="0" borderId="16" xfId="0" applyFont="1" applyBorder="1" applyAlignment="1">
      <alignment horizontal="right"/>
    </xf>
    <xf numFmtId="0" fontId="6" fillId="8" borderId="16" xfId="0" applyFont="1" applyFill="1" applyBorder="1" applyAlignment="1">
      <alignment horizontal="right"/>
    </xf>
    <xf numFmtId="166" fontId="5" fillId="8" borderId="14" xfId="0" applyNumberFormat="1" applyFont="1" applyFill="1" applyBorder="1" applyAlignment="1">
      <alignment horizontal="right"/>
    </xf>
    <xf numFmtId="165" fontId="17" fillId="0" borderId="0" xfId="1" applyNumberFormat="1" applyFont="1" applyBorder="1" applyAlignment="1">
      <alignment horizontal="left"/>
    </xf>
    <xf numFmtId="166" fontId="6" fillId="0" borderId="16" xfId="0" applyNumberFormat="1" applyFont="1" applyBorder="1" applyAlignment="1">
      <alignment horizontal="right"/>
    </xf>
    <xf numFmtId="166" fontId="6" fillId="8" borderId="16" xfId="0" applyNumberFormat="1" applyFont="1" applyFill="1" applyBorder="1" applyAlignment="1">
      <alignment horizontal="right"/>
    </xf>
    <xf numFmtId="0" fontId="6" fillId="0" borderId="12" xfId="0" applyFont="1" applyBorder="1" applyAlignment="1">
      <alignment horizontal="right"/>
    </xf>
    <xf numFmtId="0" fontId="6" fillId="8" borderId="12" xfId="0" applyFont="1" applyFill="1" applyBorder="1" applyAlignment="1">
      <alignment horizontal="right"/>
    </xf>
    <xf numFmtId="0" fontId="13" fillId="0" borderId="17" xfId="0" applyFont="1" applyBorder="1" applyAlignment="1">
      <alignment vertical="center"/>
    </xf>
    <xf numFmtId="2" fontId="5" fillId="0" borderId="12" xfId="0" applyNumberFormat="1" applyFont="1" applyBorder="1" applyAlignment="1">
      <alignment horizontal="right"/>
    </xf>
    <xf numFmtId="2" fontId="5" fillId="8" borderId="12" xfId="0" applyNumberFormat="1" applyFont="1" applyFill="1" applyBorder="1" applyAlignment="1">
      <alignment horizontal="right"/>
    </xf>
    <xf numFmtId="0" fontId="5" fillId="0" borderId="1" xfId="0" applyFont="1" applyBorder="1"/>
    <xf numFmtId="2" fontId="5" fillId="0" borderId="16" xfId="0" applyNumberFormat="1" applyFont="1" applyBorder="1" applyAlignment="1">
      <alignment horizontal="right"/>
    </xf>
    <xf numFmtId="165" fontId="17" fillId="3" borderId="12" xfId="1" applyNumberFormat="1" applyFont="1" applyFill="1" applyBorder="1" applyAlignment="1" applyProtection="1">
      <alignment horizontal="right"/>
    </xf>
    <xf numFmtId="0" fontId="6" fillId="0" borderId="9" xfId="0" applyFont="1" applyBorder="1"/>
    <xf numFmtId="0" fontId="6" fillId="0" borderId="15" xfId="0" applyFont="1" applyBorder="1" applyAlignment="1">
      <alignment horizontal="right"/>
    </xf>
    <xf numFmtId="0" fontId="5" fillId="0" borderId="18" xfId="0" applyFont="1" applyBorder="1"/>
    <xf numFmtId="166" fontId="5" fillId="0" borderId="19" xfId="0" applyNumberFormat="1" applyFont="1" applyBorder="1" applyAlignment="1">
      <alignment horizontal="right"/>
    </xf>
    <xf numFmtId="166" fontId="5" fillId="8" borderId="19" xfId="0" applyNumberFormat="1" applyFont="1" applyFill="1" applyBorder="1" applyAlignment="1">
      <alignment horizontal="right"/>
    </xf>
    <xf numFmtId="0" fontId="9" fillId="0" borderId="0" xfId="0" applyFont="1"/>
    <xf numFmtId="166" fontId="9" fillId="3" borderId="12" xfId="0" applyNumberFormat="1" applyFont="1" applyFill="1" applyBorder="1" applyAlignment="1">
      <alignment horizontal="right"/>
    </xf>
    <xf numFmtId="0" fontId="0" fillId="0" borderId="9" xfId="0" applyBorder="1"/>
    <xf numFmtId="0" fontId="0" fillId="0" borderId="0" xfId="0" applyAlignment="1">
      <alignment horizontal="right"/>
    </xf>
    <xf numFmtId="0" fontId="6" fillId="0" borderId="1" xfId="0" applyFont="1" applyBorder="1" applyAlignment="1">
      <alignment horizontal="left" indent="1"/>
    </xf>
    <xf numFmtId="166" fontId="5" fillId="3" borderId="12" xfId="0" applyNumberFormat="1" applyFont="1" applyFill="1" applyBorder="1" applyAlignment="1">
      <alignment horizontal="right"/>
    </xf>
    <xf numFmtId="0" fontId="6" fillId="0" borderId="0" xfId="0" applyFont="1" applyAlignment="1">
      <alignment horizontal="right"/>
    </xf>
    <xf numFmtId="0" fontId="10" fillId="0" borderId="0" xfId="0" applyFont="1" applyAlignment="1">
      <alignment vertical="center"/>
    </xf>
    <xf numFmtId="0" fontId="0" fillId="0" borderId="0" xfId="0" applyAlignment="1">
      <alignment vertical="center"/>
    </xf>
    <xf numFmtId="0" fontId="1" fillId="0" borderId="0" xfId="0" applyFont="1" applyAlignment="1">
      <alignment vertical="center"/>
    </xf>
    <xf numFmtId="0" fontId="0" fillId="0" borderId="0" xfId="0" applyAlignment="1">
      <alignment horizontal="left" indent="5"/>
    </xf>
    <xf numFmtId="166" fontId="14" fillId="7" borderId="12" xfId="0" applyNumberFormat="1" applyFont="1" applyFill="1" applyBorder="1" applyAlignment="1">
      <alignment horizontal="right"/>
    </xf>
    <xf numFmtId="2" fontId="8" fillId="7" borderId="16" xfId="0" applyNumberFormat="1" applyFont="1" applyFill="1" applyBorder="1" applyAlignment="1">
      <alignment horizontal="right"/>
    </xf>
    <xf numFmtId="165" fontId="18" fillId="7" borderId="12" xfId="1" applyNumberFormat="1" applyFont="1" applyFill="1" applyBorder="1" applyAlignment="1" applyProtection="1">
      <alignment horizontal="right"/>
    </xf>
    <xf numFmtId="166" fontId="14" fillId="7" borderId="16" xfId="0" applyNumberFormat="1" applyFont="1" applyFill="1" applyBorder="1" applyAlignment="1">
      <alignment horizontal="right"/>
    </xf>
    <xf numFmtId="166" fontId="0" fillId="0" borderId="15" xfId="0" applyNumberFormat="1" applyBorder="1" applyAlignment="1">
      <alignment horizontal="right"/>
    </xf>
    <xf numFmtId="4" fontId="0" fillId="3" borderId="0" xfId="0" applyNumberFormat="1" applyFill="1"/>
    <xf numFmtId="165" fontId="13" fillId="3" borderId="0" xfId="1" applyNumberFormat="1" applyFont="1" applyFill="1" applyBorder="1" applyAlignment="1">
      <alignment horizontal="right" vertical="center"/>
    </xf>
    <xf numFmtId="165" fontId="0" fillId="0" borderId="0" xfId="1" applyNumberFormat="1" applyFont="1"/>
    <xf numFmtId="167" fontId="0" fillId="0" borderId="0" xfId="5" applyNumberFormat="1" applyFont="1"/>
    <xf numFmtId="0" fontId="0" fillId="0" borderId="0" xfId="0" quotePrefix="1"/>
    <xf numFmtId="165" fontId="0" fillId="0" borderId="0" xfId="0" applyNumberFormat="1"/>
    <xf numFmtId="3" fontId="0" fillId="0" borderId="0" xfId="0" applyNumberFormat="1"/>
    <xf numFmtId="4" fontId="25" fillId="3" borderId="3" xfId="4" applyNumberFormat="1" applyFont="1" applyFill="1" applyBorder="1" applyAlignment="1" applyProtection="1">
      <alignment horizontal="right" vertical="center"/>
    </xf>
    <xf numFmtId="4" fontId="25" fillId="3" borderId="5" xfId="4" applyNumberFormat="1" applyFont="1" applyFill="1" applyBorder="1" applyAlignment="1" applyProtection="1">
      <alignment horizontal="right" vertical="center"/>
    </xf>
    <xf numFmtId="166" fontId="25" fillId="3" borderId="5" xfId="4" applyNumberFormat="1" applyFont="1" applyFill="1" applyBorder="1" applyAlignment="1" applyProtection="1">
      <alignment horizontal="right" vertical="center"/>
    </xf>
    <xf numFmtId="166" fontId="26" fillId="3" borderId="5" xfId="0" applyNumberFormat="1" applyFont="1" applyFill="1" applyBorder="1" applyAlignment="1">
      <alignment vertical="center"/>
    </xf>
    <xf numFmtId="166" fontId="26" fillId="3" borderId="7" xfId="0" applyNumberFormat="1" applyFont="1" applyFill="1" applyBorder="1" applyAlignment="1">
      <alignment vertical="center"/>
    </xf>
    <xf numFmtId="166" fontId="0" fillId="0" borderId="0" xfId="0" applyNumberFormat="1"/>
    <xf numFmtId="168" fontId="0" fillId="0" borderId="0" xfId="1" applyNumberFormat="1" applyFont="1"/>
    <xf numFmtId="168" fontId="13" fillId="3" borderId="0" xfId="1" applyNumberFormat="1" applyFont="1" applyFill="1" applyBorder="1" applyAlignment="1">
      <alignment horizontal="right" vertical="center"/>
    </xf>
    <xf numFmtId="4" fontId="0" fillId="0" borderId="0" xfId="0" applyNumberFormat="1"/>
    <xf numFmtId="0" fontId="22" fillId="0" borderId="0" xfId="0" applyFont="1" applyAlignment="1">
      <alignment horizontal="left" vertical="center" wrapText="1" indent="5"/>
    </xf>
    <xf numFmtId="0" fontId="22" fillId="0" borderId="0" xfId="0" applyFont="1" applyAlignment="1">
      <alignment horizontal="left" vertical="center" indent="5"/>
    </xf>
    <xf numFmtId="0" fontId="21" fillId="9" borderId="0" xfId="0" applyFont="1" applyFill="1" applyAlignment="1">
      <alignment horizontal="center" vertical="center"/>
    </xf>
    <xf numFmtId="0" fontId="0" fillId="0" borderId="0" xfId="0" applyAlignment="1">
      <alignment horizontal="left" vertical="center" indent="5"/>
    </xf>
    <xf numFmtId="0" fontId="1" fillId="0" borderId="0" xfId="0" applyFont="1" applyAlignment="1">
      <alignment horizontal="left" vertical="center" indent="5"/>
    </xf>
    <xf numFmtId="0" fontId="0" fillId="0" borderId="0" xfId="0" applyAlignment="1">
      <alignment horizontal="left" indent="5"/>
    </xf>
    <xf numFmtId="0" fontId="8" fillId="2" borderId="0" xfId="2" applyFont="1" applyFill="1" applyAlignment="1">
      <alignment horizontal="center" vertical="center"/>
    </xf>
  </cellXfs>
  <cellStyles count="6">
    <cellStyle name="Comma" xfId="5" builtinId="3"/>
    <cellStyle name="Normal" xfId="0" builtinId="0"/>
    <cellStyle name="Normal 3" xfId="2" xr:uid="{00000000-0005-0000-0000-000001000000}"/>
    <cellStyle name="Per cent" xfId="1" builtinId="5"/>
    <cellStyle name="Percent 2 2" xfId="4" xr:uid="{00000000-0005-0000-0000-000003000000}"/>
    <cellStyle name="Percent 4 2" xfId="3" xr:uid="{00000000-0005-0000-0000-000004000000}"/>
  </cellStyles>
  <dxfs count="0"/>
  <tableStyles count="0" defaultTableStyle="TableStyleMedium2" defaultPivotStyle="PivotStyleLight16"/>
  <colors>
    <mruColors>
      <color rgb="FF0092D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8"/>
  <sheetViews>
    <sheetView showGridLines="0" topLeftCell="A9" zoomScale="200" zoomScaleNormal="100" workbookViewId="0">
      <selection activeCell="A2" sqref="A2"/>
    </sheetView>
  </sheetViews>
  <sheetFormatPr baseColWidth="10" defaultColWidth="8.83203125" defaultRowHeight="15" x14ac:dyDescent="0.2"/>
  <sheetData>
    <row r="1" spans="1:18" ht="25" x14ac:dyDescent="0.2">
      <c r="A1" s="118" t="s">
        <v>172</v>
      </c>
      <c r="B1" s="118"/>
      <c r="C1" s="118"/>
      <c r="D1" s="118"/>
      <c r="E1" s="118"/>
      <c r="F1" s="118"/>
      <c r="G1" s="118"/>
      <c r="H1" s="118"/>
      <c r="I1" s="118"/>
      <c r="J1" s="118"/>
      <c r="K1" s="118"/>
      <c r="L1" s="118"/>
      <c r="M1" s="118"/>
      <c r="N1" s="118"/>
      <c r="O1" s="118"/>
      <c r="P1" s="118"/>
      <c r="Q1" s="118"/>
      <c r="R1" s="118"/>
    </row>
    <row r="3" spans="1:18" ht="16" x14ac:dyDescent="0.2">
      <c r="A3" s="91" t="s">
        <v>151</v>
      </c>
    </row>
    <row r="4" spans="1:18" x14ac:dyDescent="0.2">
      <c r="A4" s="119" t="s">
        <v>152</v>
      </c>
      <c r="B4" s="120"/>
      <c r="C4" s="120"/>
      <c r="D4" s="120"/>
      <c r="E4" s="120"/>
      <c r="F4" s="120"/>
      <c r="G4" s="120"/>
      <c r="H4" s="120"/>
      <c r="I4" s="120"/>
      <c r="J4" s="120"/>
      <c r="K4" s="120"/>
      <c r="L4" s="120"/>
      <c r="M4" s="120"/>
      <c r="N4" s="120"/>
      <c r="O4" s="120"/>
      <c r="P4" s="120"/>
      <c r="Q4" s="120"/>
      <c r="R4" s="120"/>
    </row>
    <row r="5" spans="1:18" x14ac:dyDescent="0.2">
      <c r="A5" s="119" t="s">
        <v>153</v>
      </c>
      <c r="B5" s="119"/>
      <c r="C5" s="119"/>
      <c r="D5" s="119"/>
      <c r="E5" s="119"/>
      <c r="F5" s="119"/>
      <c r="G5" s="119"/>
      <c r="H5" s="119"/>
      <c r="I5" s="119"/>
      <c r="J5" s="119"/>
      <c r="K5" s="119"/>
      <c r="L5" s="119"/>
      <c r="M5" s="119"/>
      <c r="N5" s="119"/>
      <c r="O5" s="119"/>
      <c r="P5" s="119"/>
      <c r="Q5" s="119"/>
      <c r="R5" s="119"/>
    </row>
    <row r="6" spans="1:18" x14ac:dyDescent="0.2">
      <c r="A6" s="121" t="s">
        <v>154</v>
      </c>
      <c r="B6" s="121"/>
      <c r="C6" s="121"/>
      <c r="D6" s="121"/>
      <c r="E6" s="121"/>
      <c r="F6" s="121"/>
      <c r="G6" s="121"/>
      <c r="H6" s="121"/>
      <c r="I6" s="121"/>
      <c r="J6" s="121"/>
      <c r="K6" s="121"/>
      <c r="L6" s="121"/>
      <c r="M6" s="121"/>
      <c r="N6" s="121"/>
      <c r="O6" s="121"/>
      <c r="P6" s="121"/>
      <c r="Q6" s="121"/>
      <c r="R6" s="121"/>
    </row>
    <row r="7" spans="1:18" x14ac:dyDescent="0.2">
      <c r="A7" s="121" t="s">
        <v>167</v>
      </c>
      <c r="B7" s="121"/>
      <c r="C7" s="121"/>
      <c r="D7" s="121"/>
      <c r="E7" s="121"/>
      <c r="F7" s="121"/>
      <c r="G7" s="121"/>
      <c r="H7" s="121"/>
      <c r="I7" s="121"/>
      <c r="J7" s="121"/>
      <c r="K7" s="121"/>
      <c r="L7" s="121"/>
      <c r="M7" s="121"/>
      <c r="N7" s="121"/>
      <c r="O7" s="121"/>
      <c r="P7" s="121"/>
      <c r="Q7" s="121"/>
      <c r="R7" s="121"/>
    </row>
    <row r="9" spans="1:18" ht="16" x14ac:dyDescent="0.2">
      <c r="A9" s="91" t="s">
        <v>155</v>
      </c>
    </row>
    <row r="10" spans="1:18" x14ac:dyDescent="0.2">
      <c r="A10" s="92" t="s">
        <v>156</v>
      </c>
    </row>
    <row r="11" spans="1:18" ht="30" customHeight="1" x14ac:dyDescent="0.2">
      <c r="A11" s="116" t="s">
        <v>163</v>
      </c>
      <c r="B11" s="117"/>
      <c r="C11" s="117"/>
      <c r="D11" s="117"/>
      <c r="E11" s="117"/>
      <c r="F11" s="117"/>
      <c r="G11" s="117"/>
      <c r="H11" s="117"/>
      <c r="I11" s="117"/>
      <c r="J11" s="117"/>
      <c r="K11" s="117"/>
      <c r="L11" s="117"/>
      <c r="M11" s="117"/>
      <c r="N11" s="117"/>
      <c r="O11" s="117"/>
      <c r="P11" s="117"/>
      <c r="Q11" s="117"/>
      <c r="R11" s="117"/>
    </row>
    <row r="12" spans="1:18" ht="47.25" customHeight="1" x14ac:dyDescent="0.2">
      <c r="A12" s="116" t="s">
        <v>166</v>
      </c>
      <c r="B12" s="116"/>
      <c r="C12" s="116"/>
      <c r="D12" s="116"/>
      <c r="E12" s="116"/>
      <c r="F12" s="116"/>
      <c r="G12" s="116"/>
      <c r="H12" s="116"/>
      <c r="I12" s="116"/>
      <c r="J12" s="116"/>
      <c r="K12" s="116"/>
      <c r="L12" s="116"/>
      <c r="M12" s="116"/>
      <c r="N12" s="116"/>
      <c r="O12" s="116"/>
      <c r="P12" s="116"/>
      <c r="Q12" s="116"/>
      <c r="R12" s="116"/>
    </row>
    <row r="13" spans="1:18" x14ac:dyDescent="0.2">
      <c r="A13" s="93"/>
    </row>
    <row r="14" spans="1:18" ht="16" x14ac:dyDescent="0.2">
      <c r="A14" s="91" t="s">
        <v>157</v>
      </c>
    </row>
    <row r="15" spans="1:18" x14ac:dyDescent="0.2">
      <c r="A15" s="92" t="s">
        <v>158</v>
      </c>
    </row>
    <row r="16" spans="1:18" x14ac:dyDescent="0.2">
      <c r="A16" s="117" t="s">
        <v>159</v>
      </c>
      <c r="B16" s="117"/>
      <c r="C16" s="117"/>
      <c r="D16" s="117"/>
      <c r="E16" s="117"/>
      <c r="F16" s="117"/>
      <c r="G16" s="117"/>
      <c r="H16" s="117"/>
      <c r="I16" s="117"/>
      <c r="J16" s="117"/>
      <c r="K16" s="117"/>
      <c r="L16" s="117"/>
      <c r="M16" s="117"/>
      <c r="N16" s="117"/>
      <c r="O16" s="117"/>
      <c r="P16" s="117"/>
      <c r="Q16" s="117"/>
      <c r="R16" s="94"/>
    </row>
    <row r="17" spans="1:18" x14ac:dyDescent="0.2">
      <c r="A17" s="117" t="s">
        <v>164</v>
      </c>
      <c r="B17" s="117"/>
      <c r="C17" s="117"/>
      <c r="D17" s="117"/>
      <c r="E17" s="117"/>
      <c r="F17" s="117"/>
      <c r="G17" s="117"/>
      <c r="H17" s="117"/>
      <c r="I17" s="117"/>
      <c r="J17" s="117"/>
      <c r="K17" s="117"/>
      <c r="L17" s="117"/>
      <c r="M17" s="117"/>
      <c r="N17" s="117"/>
      <c r="O17" s="117"/>
      <c r="P17" s="117"/>
      <c r="Q17" s="117"/>
      <c r="R17" s="117"/>
    </row>
    <row r="18" spans="1:18" x14ac:dyDescent="0.2">
      <c r="A18" s="117" t="s">
        <v>165</v>
      </c>
      <c r="B18" s="117"/>
      <c r="C18" s="117"/>
      <c r="D18" s="117"/>
      <c r="E18" s="117"/>
      <c r="F18" s="117"/>
      <c r="G18" s="117"/>
      <c r="H18" s="117"/>
      <c r="I18" s="117"/>
      <c r="J18" s="117"/>
      <c r="K18" s="117"/>
      <c r="L18" s="117"/>
      <c r="M18" s="117"/>
      <c r="N18" s="117"/>
      <c r="O18" s="117"/>
      <c r="P18" s="117"/>
      <c r="Q18" s="117"/>
      <c r="R18" s="117"/>
    </row>
  </sheetData>
  <mergeCells count="10">
    <mergeCell ref="A12:R12"/>
    <mergeCell ref="A16:Q16"/>
    <mergeCell ref="A17:R17"/>
    <mergeCell ref="A18:R18"/>
    <mergeCell ref="A1:R1"/>
    <mergeCell ref="A4:R4"/>
    <mergeCell ref="A5:R5"/>
    <mergeCell ref="A6:R6"/>
    <mergeCell ref="A7:R7"/>
    <mergeCell ref="A11:R1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I182"/>
  <sheetViews>
    <sheetView showGridLines="0" topLeftCell="A76" zoomScale="80" zoomScaleNormal="80" workbookViewId="0">
      <selection activeCell="B121" sqref="B121"/>
    </sheetView>
  </sheetViews>
  <sheetFormatPr baseColWidth="10" defaultColWidth="8.83203125" defaultRowHeight="15" outlineLevelRow="1" x14ac:dyDescent="0.2"/>
  <cols>
    <col min="1" max="1" width="2.33203125" customWidth="1"/>
    <col min="2" max="2" width="61.33203125" bestFit="1" customWidth="1"/>
    <col min="3" max="3" width="17.6640625" bestFit="1" customWidth="1"/>
    <col min="5" max="5" width="14.33203125" bestFit="1" customWidth="1"/>
  </cols>
  <sheetData>
    <row r="1" spans="2:6" ht="16" x14ac:dyDescent="0.2">
      <c r="B1" s="20" t="s">
        <v>18</v>
      </c>
    </row>
    <row r="3" spans="2:6" ht="16" thickBot="1" x14ac:dyDescent="0.25">
      <c r="B3" s="21" t="s">
        <v>19</v>
      </c>
      <c r="C3" s="29" t="s">
        <v>33</v>
      </c>
      <c r="D3" s="22"/>
      <c r="E3" s="22"/>
    </row>
    <row r="4" spans="2:6" x14ac:dyDescent="0.2">
      <c r="B4" s="23" t="s">
        <v>20</v>
      </c>
      <c r="C4" s="107">
        <v>362.1</v>
      </c>
    </row>
    <row r="5" spans="2:6" x14ac:dyDescent="0.2">
      <c r="B5" s="24" t="s">
        <v>21</v>
      </c>
      <c r="C5" s="108">
        <v>1.18</v>
      </c>
      <c r="E5" s="104"/>
    </row>
    <row r="6" spans="2:6" x14ac:dyDescent="0.2">
      <c r="B6" s="24" t="s">
        <v>22</v>
      </c>
      <c r="C6" s="109">
        <f>610500000</f>
        <v>610500000</v>
      </c>
      <c r="E6" s="112"/>
    </row>
    <row r="7" spans="2:6" x14ac:dyDescent="0.2">
      <c r="B7" s="25" t="s">
        <v>23</v>
      </c>
      <c r="C7" s="110">
        <f>C4*C6/10^6</f>
        <v>221062.05</v>
      </c>
      <c r="F7" s="113"/>
    </row>
    <row r="8" spans="2:6" x14ac:dyDescent="0.2">
      <c r="B8" s="26" t="s">
        <v>24</v>
      </c>
      <c r="C8" s="109">
        <f>E148</f>
        <v>0</v>
      </c>
    </row>
    <row r="9" spans="2:6" x14ac:dyDescent="0.2">
      <c r="B9" s="26" t="s">
        <v>25</v>
      </c>
      <c r="C9" s="109">
        <f>E144</f>
        <v>1</v>
      </c>
    </row>
    <row r="10" spans="2:6" x14ac:dyDescent="0.2">
      <c r="B10" s="26" t="s">
        <v>26</v>
      </c>
      <c r="C10" s="109">
        <f>E108</f>
        <v>1.2</v>
      </c>
    </row>
    <row r="11" spans="2:6" x14ac:dyDescent="0.2">
      <c r="B11" s="26" t="s">
        <v>27</v>
      </c>
      <c r="C11" s="109">
        <f>E118</f>
        <v>0</v>
      </c>
    </row>
    <row r="12" spans="2:6" x14ac:dyDescent="0.2">
      <c r="B12" s="26" t="s">
        <v>28</v>
      </c>
      <c r="C12" s="109">
        <f>E135</f>
        <v>0</v>
      </c>
    </row>
    <row r="13" spans="2:6" x14ac:dyDescent="0.2">
      <c r="B13" s="26" t="s">
        <v>29</v>
      </c>
      <c r="C13" s="109">
        <f>E137</f>
        <v>262.3</v>
      </c>
    </row>
    <row r="14" spans="2:6" ht="16" thickBot="1" x14ac:dyDescent="0.25">
      <c r="B14" s="27" t="s">
        <v>30</v>
      </c>
      <c r="C14" s="111">
        <f>C7+C8+C9-C10-C11+C12+C13</f>
        <v>221324.14999999997</v>
      </c>
      <c r="E14" s="112"/>
    </row>
    <row r="16" spans="2:6" x14ac:dyDescent="0.2">
      <c r="B16" s="28" t="s">
        <v>31</v>
      </c>
      <c r="C16" s="29" t="s">
        <v>32</v>
      </c>
      <c r="D16" s="29" t="s">
        <v>33</v>
      </c>
    </row>
    <row r="17" spans="2:5" x14ac:dyDescent="0.2">
      <c r="B17" s="30" t="s">
        <v>34</v>
      </c>
    </row>
    <row r="18" spans="2:5" x14ac:dyDescent="0.2">
      <c r="B18" s="4" t="s">
        <v>35</v>
      </c>
      <c r="C18" s="100"/>
      <c r="D18" s="100"/>
    </row>
    <row r="19" spans="2:5" x14ac:dyDescent="0.2">
      <c r="B19" s="31" t="s">
        <v>36</v>
      </c>
      <c r="C19" s="32"/>
      <c r="D19" s="32"/>
    </row>
    <row r="20" spans="2:5" x14ac:dyDescent="0.2">
      <c r="B20" s="31" t="s">
        <v>37</v>
      </c>
      <c r="C20" s="32"/>
      <c r="D20" s="32"/>
    </row>
    <row r="21" spans="2:5" x14ac:dyDescent="0.2">
      <c r="B21" s="31" t="s">
        <v>38</v>
      </c>
      <c r="C21" s="32"/>
      <c r="D21" s="32"/>
    </row>
    <row r="22" spans="2:5" x14ac:dyDescent="0.2">
      <c r="B22" s="31" t="s">
        <v>39</v>
      </c>
      <c r="C22" s="101"/>
      <c r="D22" s="101"/>
    </row>
    <row r="23" spans="2:5" x14ac:dyDescent="0.2">
      <c r="B23" s="31" t="s">
        <v>40</v>
      </c>
      <c r="C23" s="114"/>
      <c r="D23" s="101"/>
    </row>
    <row r="24" spans="2:5" ht="16" thickBot="1" x14ac:dyDescent="0.25"/>
    <row r="25" spans="2:5" x14ac:dyDescent="0.2">
      <c r="B25" s="33" t="s">
        <v>41</v>
      </c>
      <c r="C25" s="34" t="s">
        <v>42</v>
      </c>
      <c r="D25" s="35" t="s">
        <v>43</v>
      </c>
      <c r="E25" s="35" t="s">
        <v>44</v>
      </c>
    </row>
    <row r="26" spans="2:5" ht="16" thickBot="1" x14ac:dyDescent="0.25">
      <c r="B26" s="36" t="s">
        <v>45</v>
      </c>
      <c r="C26" s="37" t="s">
        <v>46</v>
      </c>
      <c r="D26" s="38" t="s">
        <v>47</v>
      </c>
      <c r="E26" s="38" t="s">
        <v>171</v>
      </c>
    </row>
    <row r="27" spans="2:5" ht="16" thickBot="1" x14ac:dyDescent="0.25">
      <c r="B27" s="39" t="s">
        <v>48</v>
      </c>
      <c r="C27" s="40" t="str">
        <f>C$25</f>
        <v>FY2016</v>
      </c>
      <c r="D27" s="40" t="str">
        <f>D$25</f>
        <v>FY2017</v>
      </c>
      <c r="E27" s="40" t="str">
        <f>E$25</f>
        <v>FY2018</v>
      </c>
    </row>
    <row r="28" spans="2:5" outlineLevel="1" x14ac:dyDescent="0.2">
      <c r="B28" s="3" t="s">
        <v>49</v>
      </c>
      <c r="C28" s="41"/>
      <c r="D28" s="41"/>
      <c r="E28" s="41"/>
    </row>
    <row r="29" spans="2:5" outlineLevel="1" x14ac:dyDescent="0.2">
      <c r="B29" s="4" t="s">
        <v>8</v>
      </c>
      <c r="C29" s="42">
        <v>575.29999999999995</v>
      </c>
      <c r="D29" s="42">
        <v>564.70000000000005</v>
      </c>
      <c r="E29" s="42">
        <f>D29*(1+E35)</f>
        <v>595.19380000000012</v>
      </c>
    </row>
    <row r="30" spans="2:5" outlineLevel="1" x14ac:dyDescent="0.2">
      <c r="B30" s="4" t="s">
        <v>9</v>
      </c>
      <c r="C30" s="42">
        <v>330.5</v>
      </c>
      <c r="D30" s="42">
        <v>366.7</v>
      </c>
      <c r="E30" s="42">
        <f t="shared" ref="E30:E33" si="0">D30*(1+E36)</f>
        <v>359.36599999999999</v>
      </c>
    </row>
    <row r="31" spans="2:5" outlineLevel="1" x14ac:dyDescent="0.2">
      <c r="B31" s="4" t="s">
        <v>10</v>
      </c>
      <c r="C31" s="42">
        <v>142.6</v>
      </c>
      <c r="D31" s="42">
        <v>195</v>
      </c>
      <c r="E31" s="42">
        <f t="shared" si="0"/>
        <v>204.75</v>
      </c>
    </row>
    <row r="32" spans="2:5" outlineLevel="1" x14ac:dyDescent="0.2">
      <c r="B32" s="4" t="s">
        <v>11</v>
      </c>
      <c r="C32" s="42">
        <v>144.6</v>
      </c>
      <c r="D32" s="42">
        <v>132.6</v>
      </c>
      <c r="E32" s="42">
        <f t="shared" si="0"/>
        <v>137.904</v>
      </c>
    </row>
    <row r="33" spans="2:5" outlineLevel="1" x14ac:dyDescent="0.2">
      <c r="B33" s="4" t="s">
        <v>12</v>
      </c>
      <c r="C33" s="42">
        <v>136</v>
      </c>
      <c r="D33" s="42">
        <v>141.19999999999999</v>
      </c>
      <c r="E33" s="42">
        <f t="shared" si="0"/>
        <v>147.27159999999998</v>
      </c>
    </row>
    <row r="34" spans="2:5" outlineLevel="1" x14ac:dyDescent="0.2">
      <c r="B34" s="43" t="s">
        <v>50</v>
      </c>
      <c r="C34" s="44"/>
      <c r="D34" s="44"/>
      <c r="E34" s="44"/>
    </row>
    <row r="35" spans="2:5" outlineLevel="1" x14ac:dyDescent="0.2">
      <c r="B35" s="45" t="s">
        <v>8</v>
      </c>
      <c r="C35" s="46" t="s">
        <v>51</v>
      </c>
      <c r="D35" s="47">
        <f>D29/C29-1</f>
        <v>-1.8425169476794512E-2</v>
      </c>
      <c r="E35" s="47">
        <v>5.3999999999999999E-2</v>
      </c>
    </row>
    <row r="36" spans="2:5" outlineLevel="1" x14ac:dyDescent="0.2">
      <c r="B36" s="45" t="s">
        <v>9</v>
      </c>
      <c r="C36" s="46" t="s">
        <v>51</v>
      </c>
      <c r="D36" s="47">
        <f t="shared" ref="D36:D39" si="1">D30/C30-1</f>
        <v>0.1095310136157337</v>
      </c>
      <c r="E36" s="47">
        <v>-0.02</v>
      </c>
    </row>
    <row r="37" spans="2:5" outlineLevel="1" x14ac:dyDescent="0.2">
      <c r="B37" s="45" t="s">
        <v>10</v>
      </c>
      <c r="C37" s="46" t="s">
        <v>51</v>
      </c>
      <c r="D37" s="47">
        <f t="shared" si="1"/>
        <v>0.36746143057503522</v>
      </c>
      <c r="E37" s="47">
        <v>0.05</v>
      </c>
    </row>
    <row r="38" spans="2:5" outlineLevel="1" x14ac:dyDescent="0.2">
      <c r="B38" s="45" t="s">
        <v>11</v>
      </c>
      <c r="C38" s="46" t="s">
        <v>51</v>
      </c>
      <c r="D38" s="47">
        <f t="shared" si="1"/>
        <v>-8.2987551867219955E-2</v>
      </c>
      <c r="E38" s="47">
        <v>0.04</v>
      </c>
    </row>
    <row r="39" spans="2:5" outlineLevel="1" x14ac:dyDescent="0.2">
      <c r="B39" s="45" t="s">
        <v>12</v>
      </c>
      <c r="C39" s="46" t="s">
        <v>51</v>
      </c>
      <c r="D39" s="47">
        <f t="shared" si="1"/>
        <v>3.8235294117646923E-2</v>
      </c>
      <c r="E39" s="47">
        <v>4.2999999999999997E-2</v>
      </c>
    </row>
    <row r="40" spans="2:5" outlineLevel="1" x14ac:dyDescent="0.2">
      <c r="B40" s="48" t="s">
        <v>52</v>
      </c>
      <c r="C40" s="49">
        <f t="shared" ref="C40:E40" si="2">SUM(C29:C33)</f>
        <v>1328.9999999999998</v>
      </c>
      <c r="D40" s="49">
        <f>SUM(D29:D33)</f>
        <v>1400.2</v>
      </c>
      <c r="E40" s="49">
        <f t="shared" si="2"/>
        <v>1444.4854</v>
      </c>
    </row>
    <row r="41" spans="2:5" outlineLevel="1" x14ac:dyDescent="0.2">
      <c r="B41" s="50" t="s">
        <v>53</v>
      </c>
      <c r="C41" s="46" t="s">
        <v>51</v>
      </c>
      <c r="D41" s="46">
        <f t="shared" ref="D41:E41" si="3">D40/C40-1</f>
        <v>5.3574115876599215E-2</v>
      </c>
      <c r="E41" s="46">
        <f t="shared" si="3"/>
        <v>3.162791029852885E-2</v>
      </c>
    </row>
    <row r="42" spans="2:5" outlineLevel="1" x14ac:dyDescent="0.2">
      <c r="B42" s="3" t="s">
        <v>13</v>
      </c>
      <c r="C42" s="41"/>
      <c r="D42" s="41"/>
      <c r="E42" s="41"/>
    </row>
    <row r="43" spans="2:5" outlineLevel="1" x14ac:dyDescent="0.2">
      <c r="B43" s="51" t="s">
        <v>8</v>
      </c>
      <c r="C43" s="42">
        <v>454.79999999999995</v>
      </c>
      <c r="D43" s="42">
        <v>441.9</v>
      </c>
      <c r="E43" s="42">
        <f t="shared" ref="E43:E46" si="4">E29*E49</f>
        <v>463.06077640000012</v>
      </c>
    </row>
    <row r="44" spans="2:5" outlineLevel="1" x14ac:dyDescent="0.2">
      <c r="B44" s="51" t="s">
        <v>9</v>
      </c>
      <c r="C44" s="42">
        <v>244</v>
      </c>
      <c r="D44" s="42">
        <v>265.2</v>
      </c>
      <c r="E44" s="42">
        <f t="shared" si="4"/>
        <v>255.50922599999998</v>
      </c>
    </row>
    <row r="45" spans="2:5" outlineLevel="1" x14ac:dyDescent="0.2">
      <c r="B45" s="51" t="s">
        <v>10</v>
      </c>
      <c r="C45" s="42">
        <v>97.399999999999991</v>
      </c>
      <c r="D45" s="42">
        <v>103.4</v>
      </c>
      <c r="E45" s="42">
        <f t="shared" si="4"/>
        <v>122.85000000000002</v>
      </c>
    </row>
    <row r="46" spans="2:5" outlineLevel="1" x14ac:dyDescent="0.2">
      <c r="B46" s="51" t="s">
        <v>11</v>
      </c>
      <c r="C46" s="42">
        <v>105.9</v>
      </c>
      <c r="D46" s="42">
        <v>91.9</v>
      </c>
      <c r="E46" s="42">
        <f t="shared" si="4"/>
        <v>95.153759999999991</v>
      </c>
    </row>
    <row r="47" spans="2:5" outlineLevel="1" x14ac:dyDescent="0.2">
      <c r="B47" s="51" t="s">
        <v>12</v>
      </c>
      <c r="C47" s="42">
        <v>-107.30000000000003</v>
      </c>
      <c r="D47" s="42">
        <v>151</v>
      </c>
      <c r="E47" s="42">
        <f>E33*E53</f>
        <v>-161.99875999999998</v>
      </c>
    </row>
    <row r="48" spans="2:5" outlineLevel="1" x14ac:dyDescent="0.2">
      <c r="B48" s="43" t="s">
        <v>54</v>
      </c>
      <c r="C48" s="52"/>
      <c r="D48" s="41"/>
      <c r="E48" s="41"/>
    </row>
    <row r="49" spans="2:6" outlineLevel="1" x14ac:dyDescent="0.2">
      <c r="B49" s="45" t="s">
        <v>8</v>
      </c>
      <c r="C49" s="46">
        <f t="shared" ref="C49:C53" si="5">C43/C29</f>
        <v>0.79054406396662613</v>
      </c>
      <c r="D49" s="47">
        <f>D43/C43-1</f>
        <v>-2.8364116094986791E-2</v>
      </c>
      <c r="E49" s="47">
        <v>0.77800000000000002</v>
      </c>
    </row>
    <row r="50" spans="2:6" outlineLevel="1" x14ac:dyDescent="0.2">
      <c r="B50" s="45" t="s">
        <v>9</v>
      </c>
      <c r="C50" s="46">
        <f t="shared" si="5"/>
        <v>0.73827534039334342</v>
      </c>
      <c r="D50" s="47">
        <f t="shared" ref="D50:D53" si="6">D44/C44-1</f>
        <v>8.6885245901639374E-2</v>
      </c>
      <c r="E50" s="47">
        <v>0.71099999999999997</v>
      </c>
    </row>
    <row r="51" spans="2:6" outlineLevel="1" x14ac:dyDescent="0.2">
      <c r="B51" s="45" t="s">
        <v>10</v>
      </c>
      <c r="C51" s="46">
        <f t="shared" si="5"/>
        <v>0.68302945301542772</v>
      </c>
      <c r="D51" s="47">
        <f t="shared" si="6"/>
        <v>6.1601642710472415E-2</v>
      </c>
      <c r="E51" s="47">
        <v>0.60000000000000009</v>
      </c>
    </row>
    <row r="52" spans="2:6" outlineLevel="1" x14ac:dyDescent="0.2">
      <c r="B52" s="45" t="s">
        <v>11</v>
      </c>
      <c r="C52" s="46">
        <f t="shared" si="5"/>
        <v>0.73236514522821583</v>
      </c>
      <c r="D52" s="47">
        <f t="shared" si="6"/>
        <v>-0.13220018885741269</v>
      </c>
      <c r="E52" s="47">
        <v>0.69</v>
      </c>
    </row>
    <row r="53" spans="2:6" outlineLevel="1" x14ac:dyDescent="0.2">
      <c r="B53" s="45" t="s">
        <v>12</v>
      </c>
      <c r="C53" s="46">
        <f t="shared" si="5"/>
        <v>-0.78897058823529431</v>
      </c>
      <c r="D53" s="47">
        <f t="shared" si="6"/>
        <v>-2.4072693383038208</v>
      </c>
      <c r="E53" s="47">
        <v>-1.1000000000000001</v>
      </c>
    </row>
    <row r="54" spans="2:6" outlineLevel="1" x14ac:dyDescent="0.2">
      <c r="B54" s="48" t="s">
        <v>55</v>
      </c>
      <c r="C54" s="49">
        <f>SUM(C43:C47)</f>
        <v>794.79999999999984</v>
      </c>
      <c r="D54" s="49">
        <f>SUM(D43:D47)</f>
        <v>1053.3999999999999</v>
      </c>
      <c r="E54" s="49">
        <f>SUM(E43:E47)</f>
        <v>774.57500240000024</v>
      </c>
    </row>
    <row r="55" spans="2:6" outlineLevel="1" x14ac:dyDescent="0.2">
      <c r="B55" s="50" t="s">
        <v>56</v>
      </c>
      <c r="C55" s="46">
        <f>IFERROR(C54/C40,"na")</f>
        <v>0.59804364183596692</v>
      </c>
      <c r="D55" s="46">
        <f>IFERROR(D54/D40,"na")</f>
        <v>0.75232109698614469</v>
      </c>
      <c r="E55" s="46">
        <f>IFERROR(E54/E40,"na")</f>
        <v>0.53622902827539842</v>
      </c>
    </row>
    <row r="56" spans="2:6" ht="16" thickBot="1" x14ac:dyDescent="0.25">
      <c r="B56" s="53"/>
      <c r="C56" s="54"/>
      <c r="D56" s="54"/>
      <c r="E56" s="54"/>
    </row>
    <row r="57" spans="2:6" ht="9" customHeight="1" thickBot="1" x14ac:dyDescent="0.25">
      <c r="B57" s="55"/>
      <c r="C57" s="56"/>
      <c r="D57" s="56"/>
      <c r="E57" s="56"/>
    </row>
    <row r="58" spans="2:6" ht="16" thickBot="1" x14ac:dyDescent="0.25">
      <c r="B58" s="39" t="s">
        <v>57</v>
      </c>
      <c r="C58" s="34" t="s">
        <v>42</v>
      </c>
      <c r="D58" s="35" t="s">
        <v>43</v>
      </c>
      <c r="E58" s="35" t="s">
        <v>44</v>
      </c>
    </row>
    <row r="59" spans="2:6" outlineLevel="1" x14ac:dyDescent="0.2">
      <c r="B59" s="3" t="s">
        <v>58</v>
      </c>
      <c r="C59" s="57">
        <f>C40</f>
        <v>1328.9999999999998</v>
      </c>
      <c r="D59" s="58">
        <v>1400.2</v>
      </c>
      <c r="E59" s="58">
        <f>E40</f>
        <v>1444.4854</v>
      </c>
    </row>
    <row r="60" spans="2:6" outlineLevel="1" x14ac:dyDescent="0.2">
      <c r="B60" s="59" t="s">
        <v>59</v>
      </c>
      <c r="C60" s="60" t="s">
        <v>51</v>
      </c>
      <c r="D60" s="61">
        <f t="shared" ref="D60:E60" si="7">IFERROR(D59/C59-1,"na")</f>
        <v>5.3574115876599215E-2</v>
      </c>
      <c r="E60" s="61">
        <f t="shared" si="7"/>
        <v>3.162791029852885E-2</v>
      </c>
      <c r="F60" s="104" t="s">
        <v>169</v>
      </c>
    </row>
    <row r="61" spans="2:6" outlineLevel="1" x14ac:dyDescent="0.2">
      <c r="B61" s="62" t="s">
        <v>60</v>
      </c>
      <c r="C61" s="42">
        <f xml:space="preserve"> C62 - C59</f>
        <v>-168.59999999999968</v>
      </c>
      <c r="D61" s="63">
        <v>192.8</v>
      </c>
      <c r="E61" s="63">
        <f xml:space="preserve"> E62 - E59</f>
        <v>-202.22795599999995</v>
      </c>
    </row>
    <row r="62" spans="2:6" outlineLevel="1" x14ac:dyDescent="0.2">
      <c r="B62" s="4" t="s">
        <v>61</v>
      </c>
      <c r="C62" s="42">
        <v>1160.4000000000001</v>
      </c>
      <c r="D62" s="63">
        <f>D59-D61</f>
        <v>1207.4000000000001</v>
      </c>
      <c r="E62" s="63">
        <f>E59*E63</f>
        <v>1242.2574440000001</v>
      </c>
    </row>
    <row r="63" spans="2:6" outlineLevel="1" x14ac:dyDescent="0.2">
      <c r="B63" s="59" t="s">
        <v>62</v>
      </c>
      <c r="C63" s="60">
        <f>IFERROR(C62/C$59,"na")</f>
        <v>0.87313769751693027</v>
      </c>
      <c r="D63" s="47">
        <f>D62/D59</f>
        <v>0.86230538494500786</v>
      </c>
      <c r="E63" s="47">
        <v>0.86</v>
      </c>
    </row>
    <row r="64" spans="2:6" outlineLevel="1" x14ac:dyDescent="0.2">
      <c r="B64" s="62" t="s">
        <v>63</v>
      </c>
      <c r="C64" s="42">
        <v>-267.70000000000005</v>
      </c>
      <c r="D64" s="63">
        <v>-293</v>
      </c>
      <c r="E64" s="63">
        <f>E59*E65</f>
        <v>-329.34267120000004</v>
      </c>
    </row>
    <row r="65" spans="2:9" outlineLevel="1" x14ac:dyDescent="0.2">
      <c r="B65" s="59" t="s">
        <v>64</v>
      </c>
      <c r="C65" s="60">
        <f>IFERROR(C64/C$59,"na")</f>
        <v>-0.20142964635063965</v>
      </c>
      <c r="D65" s="47">
        <f>D64/D59</f>
        <v>-0.20925582059705755</v>
      </c>
      <c r="E65" s="47">
        <v>-0.22800000000000001</v>
      </c>
    </row>
    <row r="66" spans="2:9" outlineLevel="1" x14ac:dyDescent="0.2">
      <c r="B66" s="62" t="s">
        <v>65</v>
      </c>
      <c r="C66" s="42">
        <v>-97.899999999999991</v>
      </c>
      <c r="D66" s="63">
        <f>-212.1+49.1</f>
        <v>-163</v>
      </c>
      <c r="E66" s="63">
        <f>E74-E62-E64-E70</f>
        <v>735.54222960000016</v>
      </c>
      <c r="F66" s="104" t="s">
        <v>168</v>
      </c>
    </row>
    <row r="67" spans="2:9" outlineLevel="1" x14ac:dyDescent="0.2">
      <c r="B67" s="59" t="s">
        <v>66</v>
      </c>
      <c r="C67" s="60">
        <f>IFERROR(C66/C$59,"na")</f>
        <v>-7.366440933032356E-2</v>
      </c>
      <c r="D67" s="61">
        <f>D66/D59</f>
        <v>-0.1164119411512641</v>
      </c>
      <c r="E67" s="61">
        <f t="shared" ref="E67" si="8">E66/E59</f>
        <v>0.50920710558929849</v>
      </c>
      <c r="F67" s="104" t="s">
        <v>169</v>
      </c>
    </row>
    <row r="68" spans="2:9" outlineLevel="1" x14ac:dyDescent="0.2">
      <c r="B68" s="64"/>
      <c r="C68" s="65"/>
      <c r="D68" s="66"/>
      <c r="E68" s="66"/>
    </row>
    <row r="69" spans="2:9" outlineLevel="1" x14ac:dyDescent="0.2">
      <c r="B69" s="48" t="s">
        <v>13</v>
      </c>
      <c r="C69" s="49">
        <f xml:space="preserve"> C54</f>
        <v>794.79999999999984</v>
      </c>
      <c r="D69" s="67">
        <f>D62+D64+D66</f>
        <v>751.40000000000009</v>
      </c>
      <c r="E69" s="67">
        <f xml:space="preserve"> E54</f>
        <v>774.57500240000024</v>
      </c>
      <c r="F69" s="104" t="s">
        <v>168</v>
      </c>
    </row>
    <row r="70" spans="2:9" outlineLevel="1" x14ac:dyDescent="0.2">
      <c r="B70" s="62" t="s">
        <v>67</v>
      </c>
      <c r="C70" s="42">
        <v>-350.6</v>
      </c>
      <c r="D70" s="63">
        <f>323.5+83.2</f>
        <v>406.7</v>
      </c>
      <c r="E70" s="63">
        <f>IFERROR(-D117*E71,0)</f>
        <v>-436.94100000000003</v>
      </c>
    </row>
    <row r="71" spans="2:9" outlineLevel="1" x14ac:dyDescent="0.2">
      <c r="B71" s="68" t="s">
        <v>68</v>
      </c>
      <c r="C71" s="60"/>
      <c r="D71" s="47">
        <v>0.13500000000000001</v>
      </c>
      <c r="E71" s="47">
        <v>0.13500000000000001</v>
      </c>
      <c r="F71" s="104"/>
    </row>
    <row r="72" spans="2:9" outlineLevel="1" x14ac:dyDescent="0.2">
      <c r="B72" s="62" t="s">
        <v>69</v>
      </c>
      <c r="C72" s="42">
        <v>0</v>
      </c>
      <c r="D72" s="95">
        <v>0</v>
      </c>
      <c r="E72" s="95">
        <v>0</v>
      </c>
    </row>
    <row r="73" spans="2:9" outlineLevel="1" x14ac:dyDescent="0.2">
      <c r="B73" s="64"/>
      <c r="C73" s="69"/>
      <c r="D73" s="70"/>
      <c r="E73" s="70"/>
    </row>
    <row r="74" spans="2:9" outlineLevel="1" x14ac:dyDescent="0.2">
      <c r="B74" s="48" t="s">
        <v>15</v>
      </c>
      <c r="C74" s="49">
        <f xml:space="preserve"> C69 + C70 + C72</f>
        <v>444.19999999999982</v>
      </c>
      <c r="D74" s="67">
        <f>D69-D70</f>
        <v>344.7000000000001</v>
      </c>
      <c r="E74" s="67">
        <f t="shared" ref="E74" si="9">E69-E70</f>
        <v>1211.5160024000002</v>
      </c>
      <c r="G74" s="103"/>
      <c r="H74" s="103"/>
      <c r="I74" s="103"/>
    </row>
    <row r="75" spans="2:9" outlineLevel="1" x14ac:dyDescent="0.2">
      <c r="B75" s="62" t="s">
        <v>70</v>
      </c>
      <c r="C75" s="42">
        <v>0</v>
      </c>
      <c r="D75" s="95">
        <v>0</v>
      </c>
      <c r="E75" s="95">
        <f>D75</f>
        <v>0</v>
      </c>
    </row>
    <row r="76" spans="2:9" outlineLevel="1" x14ac:dyDescent="0.2">
      <c r="B76" s="62" t="s">
        <v>71</v>
      </c>
      <c r="C76" s="42">
        <v>-119.1</v>
      </c>
      <c r="D76" s="63">
        <f>-105.9+6.5</f>
        <v>-99.4</v>
      </c>
      <c r="E76" s="63">
        <f>D76</f>
        <v>-99.4</v>
      </c>
    </row>
    <row r="77" spans="2:9" outlineLevel="1" x14ac:dyDescent="0.2">
      <c r="B77" s="62" t="s">
        <v>72</v>
      </c>
      <c r="C77" s="42">
        <v>-28.299999999999997</v>
      </c>
      <c r="D77" s="95">
        <v>23.8</v>
      </c>
      <c r="E77" s="95">
        <f>D77</f>
        <v>23.8</v>
      </c>
      <c r="F77" s="104"/>
    </row>
    <row r="78" spans="2:9" outlineLevel="1" x14ac:dyDescent="0.2">
      <c r="B78" s="62" t="s">
        <v>73</v>
      </c>
      <c r="C78" s="42">
        <v>2.4</v>
      </c>
      <c r="D78" s="95">
        <v>0.9</v>
      </c>
      <c r="E78" s="95">
        <f t="shared" ref="E78:E79" si="10">D78</f>
        <v>0.9</v>
      </c>
      <c r="F78" s="104"/>
    </row>
    <row r="79" spans="2:9" outlineLevel="1" x14ac:dyDescent="0.2">
      <c r="B79" s="62" t="s">
        <v>74</v>
      </c>
      <c r="C79" s="42">
        <v>0</v>
      </c>
      <c r="D79" s="95">
        <v>0</v>
      </c>
      <c r="E79" s="95">
        <f t="shared" si="10"/>
        <v>0</v>
      </c>
    </row>
    <row r="80" spans="2:9" outlineLevel="1" x14ac:dyDescent="0.2">
      <c r="B80" s="64"/>
      <c r="C80" s="69"/>
      <c r="D80" s="70"/>
      <c r="E80" s="70"/>
    </row>
    <row r="81" spans="2:9" outlineLevel="1" x14ac:dyDescent="0.2">
      <c r="B81" s="48" t="s">
        <v>75</v>
      </c>
      <c r="C81" s="49">
        <f>C74+C75+C76+C77+C78+C79</f>
        <v>299.19999999999976</v>
      </c>
      <c r="D81" s="67">
        <f>SUM(D74:D79)</f>
        <v>270.00000000000006</v>
      </c>
      <c r="E81" s="67">
        <f>E74+E75+E76+E77+E78+E79</f>
        <v>1136.8160024000001</v>
      </c>
    </row>
    <row r="82" spans="2:9" outlineLevel="1" x14ac:dyDescent="0.2">
      <c r="B82" s="62" t="s">
        <v>76</v>
      </c>
      <c r="C82" s="42">
        <v>-55.8</v>
      </c>
      <c r="D82" s="63">
        <v>-47.5</v>
      </c>
      <c r="E82" s="63">
        <f>IFERROR(-E81*E83,0)</f>
        <v>199.99540782962961</v>
      </c>
    </row>
    <row r="83" spans="2:9" outlineLevel="1" x14ac:dyDescent="0.2">
      <c r="B83" s="59" t="s">
        <v>77</v>
      </c>
      <c r="C83" s="60">
        <f>IFERROR(-C82/C$81,"na")</f>
        <v>0.18649732620320869</v>
      </c>
      <c r="D83" s="47">
        <f>D82/D81</f>
        <v>-0.1759259259259259</v>
      </c>
      <c r="E83" s="47">
        <f>D83</f>
        <v>-0.1759259259259259</v>
      </c>
    </row>
    <row r="84" spans="2:9" outlineLevel="1" x14ac:dyDescent="0.2">
      <c r="B84" s="48" t="s">
        <v>78</v>
      </c>
      <c r="C84" s="49">
        <f>C81+C82</f>
        <v>243.39999999999975</v>
      </c>
      <c r="D84" s="67">
        <f>D81+D82</f>
        <v>222.50000000000006</v>
      </c>
      <c r="E84" s="67">
        <f>E81+E82</f>
        <v>1336.8114102296297</v>
      </c>
      <c r="G84" s="102"/>
      <c r="H84" s="102"/>
      <c r="I84" s="102"/>
    </row>
    <row r="85" spans="2:9" outlineLevel="1" x14ac:dyDescent="0.2">
      <c r="B85" s="62" t="s">
        <v>79</v>
      </c>
      <c r="C85" s="42">
        <v>0</v>
      </c>
      <c r="D85" s="95">
        <v>0</v>
      </c>
      <c r="E85" s="95">
        <f>D85</f>
        <v>0</v>
      </c>
    </row>
    <row r="86" spans="2:9" outlineLevel="1" x14ac:dyDescent="0.2">
      <c r="B86" s="62" t="s">
        <v>80</v>
      </c>
      <c r="C86" s="42">
        <v>0</v>
      </c>
      <c r="D86" s="95">
        <v>0</v>
      </c>
      <c r="E86" s="95">
        <f t="shared" ref="E86:E90" si="11">D86</f>
        <v>0</v>
      </c>
    </row>
    <row r="87" spans="2:9" outlineLevel="1" x14ac:dyDescent="0.2">
      <c r="B87" s="62" t="s">
        <v>81</v>
      </c>
      <c r="C87" s="42">
        <v>0</v>
      </c>
      <c r="D87" s="95">
        <v>0</v>
      </c>
      <c r="E87" s="95">
        <f t="shared" si="11"/>
        <v>0</v>
      </c>
    </row>
    <row r="88" spans="2:9" outlineLevel="1" x14ac:dyDescent="0.2">
      <c r="B88" s="62" t="s">
        <v>82</v>
      </c>
      <c r="C88" s="42">
        <v>0</v>
      </c>
      <c r="D88" s="95">
        <v>0</v>
      </c>
      <c r="E88" s="95">
        <f t="shared" si="11"/>
        <v>0</v>
      </c>
    </row>
    <row r="89" spans="2:9" outlineLevel="1" x14ac:dyDescent="0.2">
      <c r="B89" s="62" t="s">
        <v>83</v>
      </c>
      <c r="C89" s="42">
        <v>0.60000000000000009</v>
      </c>
      <c r="D89" s="95">
        <v>0.4</v>
      </c>
      <c r="E89" s="95">
        <f t="shared" si="11"/>
        <v>0.4</v>
      </c>
    </row>
    <row r="90" spans="2:9" outlineLevel="1" x14ac:dyDescent="0.2">
      <c r="B90" s="62" t="s">
        <v>84</v>
      </c>
      <c r="C90" s="42">
        <v>0</v>
      </c>
      <c r="D90" s="95">
        <v>0</v>
      </c>
      <c r="E90" s="95">
        <f t="shared" si="11"/>
        <v>0</v>
      </c>
    </row>
    <row r="91" spans="2:9" outlineLevel="1" x14ac:dyDescent="0.2">
      <c r="B91" s="64"/>
      <c r="C91" s="69"/>
      <c r="D91" s="70"/>
      <c r="E91" s="70"/>
    </row>
    <row r="92" spans="2:9" outlineLevel="1" x14ac:dyDescent="0.2">
      <c r="B92" s="48" t="s">
        <v>85</v>
      </c>
      <c r="C92" s="49">
        <f t="shared" ref="C92:E92" si="12">SUM(C84:C88)-SUM(C89:C90)</f>
        <v>242.79999999999976</v>
      </c>
      <c r="D92" s="67">
        <f>SUM(D84:D88)-SUM(D89:D90)</f>
        <v>222.10000000000005</v>
      </c>
      <c r="E92" s="67">
        <f t="shared" si="12"/>
        <v>1336.4114102296296</v>
      </c>
      <c r="G92" s="102"/>
      <c r="H92" s="102"/>
      <c r="I92" s="102"/>
    </row>
    <row r="93" spans="2:9" outlineLevel="1" x14ac:dyDescent="0.2">
      <c r="B93" s="62" t="s">
        <v>86</v>
      </c>
      <c r="C93" s="42">
        <v>0</v>
      </c>
      <c r="D93" s="95">
        <f>C93</f>
        <v>0</v>
      </c>
      <c r="E93" s="95">
        <f>D93</f>
        <v>0</v>
      </c>
    </row>
    <row r="94" spans="2:9" outlineLevel="1" x14ac:dyDescent="0.2">
      <c r="B94" s="4"/>
      <c r="C94" s="71"/>
      <c r="D94" s="72"/>
      <c r="E94" s="72"/>
    </row>
    <row r="95" spans="2:9" outlineLevel="1" x14ac:dyDescent="0.2">
      <c r="B95" s="73" t="s">
        <v>87</v>
      </c>
      <c r="C95" s="42">
        <v>452.062816</v>
      </c>
      <c r="D95" s="95">
        <v>454.8</v>
      </c>
      <c r="E95" s="95">
        <f>D95</f>
        <v>454.8</v>
      </c>
    </row>
    <row r="96" spans="2:9" outlineLevel="1" x14ac:dyDescent="0.2">
      <c r="B96" s="73" t="s">
        <v>88</v>
      </c>
      <c r="C96" s="42">
        <v>449.52499999999998</v>
      </c>
      <c r="D96" s="63">
        <f>AVERAGE(C95:D95)</f>
        <v>453.43140800000003</v>
      </c>
      <c r="E96" s="63">
        <f>AVERAGE(D95:E95)</f>
        <v>454.8</v>
      </c>
    </row>
    <row r="97" spans="2:8" outlineLevel="1" x14ac:dyDescent="0.2">
      <c r="B97" s="73" t="s">
        <v>89</v>
      </c>
      <c r="C97" s="42">
        <v>456.21281600000009</v>
      </c>
      <c r="D97" s="95">
        <v>459.9</v>
      </c>
      <c r="E97" s="95">
        <f>D97</f>
        <v>459.9</v>
      </c>
    </row>
    <row r="98" spans="2:8" outlineLevel="1" x14ac:dyDescent="0.2">
      <c r="B98" s="73" t="s">
        <v>90</v>
      </c>
      <c r="C98" s="42">
        <v>453.67500000000001</v>
      </c>
      <c r="D98" s="63">
        <f>AVERAGE(C97:D97)</f>
        <v>458.05640800000003</v>
      </c>
      <c r="E98" s="63">
        <f>AVERAGE(D97:E97)</f>
        <v>459.9</v>
      </c>
    </row>
    <row r="99" spans="2:8" outlineLevel="1" x14ac:dyDescent="0.2">
      <c r="B99" s="64"/>
      <c r="C99" s="65"/>
      <c r="D99" s="66"/>
      <c r="E99" s="66"/>
    </row>
    <row r="100" spans="2:8" outlineLevel="1" x14ac:dyDescent="0.2">
      <c r="B100" s="3" t="s">
        <v>91</v>
      </c>
      <c r="C100" s="74">
        <f>IFERROR(C92/(C96),"na")</f>
        <v>0.54012568822646079</v>
      </c>
      <c r="D100" s="75">
        <f>IFERROR(D92/(D96),"na")</f>
        <v>0.48982050224452039</v>
      </c>
      <c r="E100" s="75">
        <f>IFERROR(E92/(E96),"na")</f>
        <v>2.938459565148702</v>
      </c>
    </row>
    <row r="101" spans="2:8" outlineLevel="1" x14ac:dyDescent="0.2">
      <c r="B101" s="3" t="s">
        <v>92</v>
      </c>
      <c r="C101" s="74">
        <f>IFERROR((C92+C93)/(C98),"na")</f>
        <v>0.53518487904336753</v>
      </c>
      <c r="D101" s="75">
        <f>IFERROR((D92+D93)/(D98),"na")</f>
        <v>0.48487477987645583</v>
      </c>
      <c r="E101" s="75">
        <f>IFERROR((E92+E93)/(E98),"na")</f>
        <v>2.905873907870471</v>
      </c>
    </row>
    <row r="102" spans="2:8" outlineLevel="1" x14ac:dyDescent="0.2">
      <c r="B102" s="76" t="s">
        <v>93</v>
      </c>
      <c r="C102" s="77">
        <v>0.53959999999999997</v>
      </c>
      <c r="D102" s="96">
        <v>0.27</v>
      </c>
      <c r="E102" s="96">
        <f>D102</f>
        <v>0.27</v>
      </c>
      <c r="G102" s="115"/>
    </row>
    <row r="103" spans="2:8" x14ac:dyDescent="0.2">
      <c r="B103" s="59" t="s">
        <v>94</v>
      </c>
      <c r="C103" s="78"/>
      <c r="D103" s="78"/>
      <c r="E103" s="78"/>
    </row>
    <row r="104" spans="2:8" ht="16" thickBot="1" x14ac:dyDescent="0.25">
      <c r="B104" s="79"/>
      <c r="C104" s="80"/>
      <c r="D104" s="80"/>
      <c r="E104" s="80"/>
    </row>
    <row r="105" spans="2:8" ht="9" customHeight="1" thickBot="1" x14ac:dyDescent="0.25">
      <c r="B105" s="55"/>
      <c r="C105" s="56"/>
      <c r="D105" s="56"/>
      <c r="E105" s="56"/>
    </row>
    <row r="106" spans="2:8" ht="16" thickBot="1" x14ac:dyDescent="0.25">
      <c r="B106" s="39" t="s">
        <v>95</v>
      </c>
      <c r="C106" s="34" t="s">
        <v>42</v>
      </c>
      <c r="D106" s="34" t="s">
        <v>43</v>
      </c>
      <c r="E106" s="35" t="s">
        <v>44</v>
      </c>
    </row>
    <row r="107" spans="2:8" outlineLevel="1" x14ac:dyDescent="0.2">
      <c r="B107" s="62" t="s">
        <v>96</v>
      </c>
      <c r="C107" s="42">
        <v>262</v>
      </c>
      <c r="D107" s="42">
        <v>144.9</v>
      </c>
      <c r="E107" s="63">
        <f>D107+E177</f>
        <v>233.73622855970501</v>
      </c>
    </row>
    <row r="108" spans="2:8" outlineLevel="1" x14ac:dyDescent="0.2">
      <c r="B108" s="62" t="s">
        <v>97</v>
      </c>
      <c r="C108" s="42">
        <v>1.7</v>
      </c>
      <c r="D108" s="42">
        <v>1.2</v>
      </c>
      <c r="E108" s="95">
        <f>D108</f>
        <v>1.2</v>
      </c>
    </row>
    <row r="109" spans="2:8" outlineLevel="1" x14ac:dyDescent="0.2">
      <c r="B109" s="62" t="s">
        <v>98</v>
      </c>
      <c r="C109" s="42">
        <v>395</v>
      </c>
      <c r="D109" s="42">
        <v>319.39999999999998</v>
      </c>
      <c r="E109" s="63">
        <f>IFERROR(E59*E110,0)</f>
        <v>329.50195454935005</v>
      </c>
      <c r="F109" s="112"/>
      <c r="G109" s="112"/>
      <c r="H109" s="112"/>
    </row>
    <row r="110" spans="2:8" outlineLevel="1" x14ac:dyDescent="0.2">
      <c r="B110" s="59" t="s">
        <v>64</v>
      </c>
      <c r="C110" s="60">
        <f>IFERROR(C109/C$59,"na")</f>
        <v>0.29721595184349142</v>
      </c>
      <c r="D110" s="60">
        <f>IFERROR(D109/D$59,"na")</f>
        <v>0.22811026996143405</v>
      </c>
      <c r="E110" s="97">
        <f>D110</f>
        <v>0.22811026996143405</v>
      </c>
      <c r="F110" s="112"/>
      <c r="G110" s="112"/>
      <c r="H110" s="112"/>
    </row>
    <row r="111" spans="2:8" outlineLevel="1" x14ac:dyDescent="0.2">
      <c r="B111" s="62" t="s">
        <v>99</v>
      </c>
      <c r="C111" s="42">
        <v>34.299999999999997</v>
      </c>
      <c r="D111" s="42">
        <v>33.9</v>
      </c>
      <c r="E111" s="63">
        <f>IFERROR(-E61*E112,0)</f>
        <v>-35.557716329875504</v>
      </c>
      <c r="F111" s="112"/>
      <c r="G111" s="112"/>
      <c r="H111" s="112"/>
    </row>
    <row r="112" spans="2:8" outlineLevel="1" x14ac:dyDescent="0.2">
      <c r="B112" s="59" t="s">
        <v>100</v>
      </c>
      <c r="C112" s="60">
        <f>IFERROR(-C111/C$61,"na")</f>
        <v>0.20344009489917</v>
      </c>
      <c r="D112" s="60">
        <f>IFERROR(-D111/D$61,"na")</f>
        <v>-0.17582987551867219</v>
      </c>
      <c r="E112" s="97">
        <f>D112</f>
        <v>-0.17582987551867219</v>
      </c>
      <c r="F112" s="112"/>
      <c r="G112" s="112"/>
      <c r="H112" s="112"/>
    </row>
    <row r="113" spans="2:5" outlineLevel="1" x14ac:dyDescent="0.2">
      <c r="B113" s="62" t="s">
        <v>101</v>
      </c>
      <c r="C113" s="42">
        <v>11.3</v>
      </c>
      <c r="D113" s="42">
        <v>358.6</v>
      </c>
      <c r="E113" s="63">
        <f>IFERROR(E59*E114,0)</f>
        <v>221.03773053045433</v>
      </c>
    </row>
    <row r="114" spans="2:5" outlineLevel="1" x14ac:dyDescent="0.2">
      <c r="B114" s="59" t="s">
        <v>64</v>
      </c>
      <c r="C114" s="60">
        <f>IFERROR(C113/C$59,"na")</f>
        <v>8.5026335590669688E-3</v>
      </c>
      <c r="D114" s="60">
        <f>IFERROR(D113/D$59,"na")</f>
        <v>0.25610627053278107</v>
      </c>
      <c r="E114" s="97">
        <v>0.15302178238039257</v>
      </c>
    </row>
    <row r="115" spans="2:5" outlineLevel="1" x14ac:dyDescent="0.2">
      <c r="B115" s="81" t="s">
        <v>102</v>
      </c>
      <c r="C115" s="82">
        <f t="shared" ref="C115:E115" si="13">C107+C108+C109+C111+C113</f>
        <v>704.3</v>
      </c>
      <c r="D115" s="82">
        <f t="shared" si="13"/>
        <v>858</v>
      </c>
      <c r="E115" s="83">
        <f t="shared" si="13"/>
        <v>749.9181973096338</v>
      </c>
    </row>
    <row r="116" spans="2:5" outlineLevel="1" x14ac:dyDescent="0.2">
      <c r="B116" s="4"/>
      <c r="C116" s="71"/>
      <c r="D116" s="71"/>
      <c r="E116" s="72"/>
    </row>
    <row r="117" spans="2:5" outlineLevel="1" x14ac:dyDescent="0.2">
      <c r="B117" s="62" t="s">
        <v>103</v>
      </c>
      <c r="C117" s="42">
        <v>2971.4</v>
      </c>
      <c r="D117" s="42">
        <v>3236.6</v>
      </c>
      <c r="E117" s="63">
        <f>D117+E70+-E161</f>
        <v>3252.440489830024</v>
      </c>
    </row>
    <row r="118" spans="2:5" outlineLevel="1" x14ac:dyDescent="0.2">
      <c r="B118" s="62" t="s">
        <v>104</v>
      </c>
      <c r="C118" s="42">
        <v>0</v>
      </c>
      <c r="D118" s="42">
        <v>0</v>
      </c>
      <c r="E118" s="63">
        <f>D118+E85-E165-E166</f>
        <v>0</v>
      </c>
    </row>
    <row r="119" spans="2:5" outlineLevel="1" x14ac:dyDescent="0.2">
      <c r="B119" s="62" t="s">
        <v>105</v>
      </c>
      <c r="C119" s="42">
        <v>13.2</v>
      </c>
      <c r="D119" s="42">
        <v>16.2</v>
      </c>
      <c r="E119" s="95">
        <f>D119</f>
        <v>16.2</v>
      </c>
    </row>
    <row r="120" spans="2:5" outlineLevel="1" x14ac:dyDescent="0.2">
      <c r="B120" s="62" t="s">
        <v>106</v>
      </c>
      <c r="C120" s="42">
        <v>0</v>
      </c>
      <c r="D120" s="42">
        <v>0</v>
      </c>
      <c r="E120" s="95">
        <f>D120</f>
        <v>0</v>
      </c>
    </row>
    <row r="121" spans="2:5" outlineLevel="1" x14ac:dyDescent="0.2">
      <c r="B121" s="62" t="s">
        <v>107</v>
      </c>
      <c r="C121" s="42">
        <v>796.4</v>
      </c>
      <c r="D121" s="42">
        <v>788.9</v>
      </c>
      <c r="E121" s="63">
        <f>D121+-E163</f>
        <v>899.6</v>
      </c>
    </row>
    <row r="122" spans="2:5" outlineLevel="1" x14ac:dyDescent="0.2">
      <c r="B122" s="62" t="s">
        <v>108</v>
      </c>
      <c r="C122" s="42">
        <v>204.5</v>
      </c>
      <c r="D122" s="42">
        <v>59.8</v>
      </c>
      <c r="E122" s="95">
        <f>D122</f>
        <v>59.8</v>
      </c>
    </row>
    <row r="123" spans="2:5" outlineLevel="1" x14ac:dyDescent="0.2">
      <c r="B123" s="81" t="s">
        <v>109</v>
      </c>
      <c r="C123" s="82">
        <f>SUM(C117:C122)</f>
        <v>3985.5</v>
      </c>
      <c r="D123" s="82">
        <f>SUM(D117:D122)</f>
        <v>4101.5</v>
      </c>
      <c r="E123" s="83">
        <f>SUM(E117:E122)</f>
        <v>4228.0404898300239</v>
      </c>
    </row>
    <row r="124" spans="2:5" outlineLevel="1" x14ac:dyDescent="0.2">
      <c r="B124" s="4"/>
      <c r="C124" s="42"/>
      <c r="D124" s="42"/>
      <c r="E124" s="63"/>
    </row>
    <row r="125" spans="2:5" outlineLevel="1" x14ac:dyDescent="0.2">
      <c r="B125" s="48" t="s">
        <v>110</v>
      </c>
      <c r="C125" s="49">
        <f>C123+C115</f>
        <v>4689.8</v>
      </c>
      <c r="D125" s="49">
        <f>D123+D115</f>
        <v>4959.5</v>
      </c>
      <c r="E125" s="67">
        <f>E123+E115</f>
        <v>4977.9586871396577</v>
      </c>
    </row>
    <row r="126" spans="2:5" outlineLevel="1" x14ac:dyDescent="0.2">
      <c r="B126" s="4"/>
      <c r="C126" s="42"/>
      <c r="D126" s="42"/>
      <c r="E126" s="63"/>
    </row>
    <row r="127" spans="2:5" outlineLevel="1" x14ac:dyDescent="0.2">
      <c r="B127" s="62" t="s">
        <v>111</v>
      </c>
      <c r="C127" s="42">
        <v>109.7</v>
      </c>
      <c r="D127" s="42">
        <v>133.5</v>
      </c>
      <c r="E127" s="95">
        <f>D127</f>
        <v>133.5</v>
      </c>
    </row>
    <row r="128" spans="2:5" outlineLevel="1" x14ac:dyDescent="0.2">
      <c r="B128" s="62" t="s">
        <v>112</v>
      </c>
      <c r="C128" s="42">
        <v>508.3</v>
      </c>
      <c r="D128" s="42">
        <v>584.6</v>
      </c>
      <c r="E128" s="63">
        <f>IFERROR(-E61*E129,0)</f>
        <v>-613.18704915767614</v>
      </c>
    </row>
    <row r="129" spans="2:9" outlineLevel="1" x14ac:dyDescent="0.2">
      <c r="B129" s="59" t="s">
        <v>100</v>
      </c>
      <c r="C129" s="60">
        <f>IFERROR(-C128/C$61,"na")</f>
        <v>3.0148279952550472</v>
      </c>
      <c r="D129" s="60">
        <f>IFERROR(-D128/D$61,"na")</f>
        <v>-3.0321576763485476</v>
      </c>
      <c r="E129" s="97">
        <f>D129</f>
        <v>-3.0321576763485476</v>
      </c>
    </row>
    <row r="130" spans="2:9" outlineLevel="1" x14ac:dyDescent="0.2">
      <c r="B130" s="62" t="s">
        <v>113</v>
      </c>
      <c r="C130" s="42">
        <v>130.9</v>
      </c>
      <c r="D130" s="42">
        <v>146.39999999999998</v>
      </c>
      <c r="E130" s="63">
        <f>IFERROR(E59*E131,0)</f>
        <v>151.03032606770458</v>
      </c>
    </row>
    <row r="131" spans="2:9" outlineLevel="1" x14ac:dyDescent="0.2">
      <c r="B131" s="59" t="s">
        <v>64</v>
      </c>
      <c r="C131" s="60">
        <f>IFERROR(C130/C$59,"na")</f>
        <v>9.8495109104589945E-2</v>
      </c>
      <c r="D131" s="60">
        <f>IFERROR(D130/D$59,"na")</f>
        <v>0.1045564919297243</v>
      </c>
      <c r="E131" s="97">
        <f>D131</f>
        <v>0.1045564919297243</v>
      </c>
    </row>
    <row r="132" spans="2:9" outlineLevel="1" x14ac:dyDescent="0.2">
      <c r="B132" s="81" t="s">
        <v>114</v>
      </c>
      <c r="C132" s="82">
        <f t="shared" ref="C132:E132" si="14">C127+C128+C130</f>
        <v>748.9</v>
      </c>
      <c r="D132" s="82">
        <f t="shared" si="14"/>
        <v>864.5</v>
      </c>
      <c r="E132" s="83">
        <f t="shared" si="14"/>
        <v>-328.65672308997159</v>
      </c>
    </row>
    <row r="133" spans="2:9" outlineLevel="1" x14ac:dyDescent="0.2">
      <c r="B133" s="4"/>
      <c r="C133" s="71"/>
      <c r="D133" s="71"/>
      <c r="E133" s="72"/>
    </row>
    <row r="134" spans="2:9" outlineLevel="1" x14ac:dyDescent="0.2">
      <c r="B134" s="62" t="s">
        <v>115</v>
      </c>
      <c r="C134" s="42">
        <v>2448</v>
      </c>
      <c r="D134" s="42">
        <v>2567.7000000000003</v>
      </c>
      <c r="E134" s="63">
        <f>D134+E172</f>
        <v>2565.3000000000002</v>
      </c>
    </row>
    <row r="135" spans="2:9" outlineLevel="1" x14ac:dyDescent="0.2">
      <c r="B135" s="62" t="s">
        <v>116</v>
      </c>
      <c r="C135" s="42">
        <v>0</v>
      </c>
      <c r="D135" s="42">
        <v>0</v>
      </c>
      <c r="E135" s="95">
        <f t="shared" ref="E135:E137" si="15">D135</f>
        <v>0</v>
      </c>
      <c r="I135" s="112">
        <f>C134-1894</f>
        <v>554</v>
      </c>
    </row>
    <row r="136" spans="2:9" outlineLevel="1" x14ac:dyDescent="0.2">
      <c r="B136" s="62" t="s">
        <v>117</v>
      </c>
      <c r="C136" s="42">
        <v>2.8</v>
      </c>
      <c r="D136" s="42">
        <v>9.6999999999999993</v>
      </c>
      <c r="E136" s="95">
        <f t="shared" si="15"/>
        <v>9.6999999999999993</v>
      </c>
    </row>
    <row r="137" spans="2:9" outlineLevel="1" x14ac:dyDescent="0.2">
      <c r="B137" s="62" t="s">
        <v>118</v>
      </c>
      <c r="C137" s="42">
        <v>249.8</v>
      </c>
      <c r="D137" s="42">
        <v>262.3</v>
      </c>
      <c r="E137" s="95">
        <f t="shared" si="15"/>
        <v>262.3</v>
      </c>
    </row>
    <row r="138" spans="2:9" outlineLevel="1" x14ac:dyDescent="0.2">
      <c r="B138" s="81" t="s">
        <v>119</v>
      </c>
      <c r="C138" s="82">
        <f t="shared" ref="C138:E138" si="16">SUM(C134:C137)</f>
        <v>2700.6000000000004</v>
      </c>
      <c r="D138" s="82">
        <f t="shared" ref="D138" si="17">SUM(D134:D137)</f>
        <v>2839.7000000000003</v>
      </c>
      <c r="E138" s="83">
        <f t="shared" si="16"/>
        <v>2837.3</v>
      </c>
    </row>
    <row r="139" spans="2:9" outlineLevel="1" x14ac:dyDescent="0.2">
      <c r="B139" s="4"/>
      <c r="C139" s="42"/>
      <c r="D139" s="42"/>
      <c r="E139" s="63"/>
    </row>
    <row r="140" spans="2:9" outlineLevel="1" x14ac:dyDescent="0.2">
      <c r="B140" s="48" t="s">
        <v>120</v>
      </c>
      <c r="C140" s="49">
        <f t="shared" ref="C140:E140" si="18">C138+C132</f>
        <v>3449.5000000000005</v>
      </c>
      <c r="D140" s="49">
        <f t="shared" ref="D140" si="19">D138+D132</f>
        <v>3704.2000000000003</v>
      </c>
      <c r="E140" s="67">
        <f t="shared" si="18"/>
        <v>2508.6432769100284</v>
      </c>
    </row>
    <row r="141" spans="2:9" outlineLevel="1" x14ac:dyDescent="0.2">
      <c r="B141" s="4"/>
      <c r="C141" s="42"/>
      <c r="D141" s="42"/>
      <c r="E141" s="63"/>
    </row>
    <row r="142" spans="2:9" outlineLevel="1" x14ac:dyDescent="0.2">
      <c r="B142" s="62" t="s">
        <v>121</v>
      </c>
      <c r="C142" s="42">
        <v>700.69999999999993</v>
      </c>
      <c r="D142" s="42">
        <v>745.69999999999993</v>
      </c>
      <c r="E142" s="63">
        <f>D142+E171</f>
        <v>745.69999999999993</v>
      </c>
    </row>
    <row r="143" spans="2:9" outlineLevel="1" x14ac:dyDescent="0.2">
      <c r="B143" s="62" t="s">
        <v>122</v>
      </c>
      <c r="C143" s="42">
        <v>539</v>
      </c>
      <c r="D143" s="42">
        <v>509</v>
      </c>
      <c r="E143" s="63">
        <f>D143+E153+E170</f>
        <v>1722.6154102296296</v>
      </c>
    </row>
    <row r="144" spans="2:9" outlineLevel="1" x14ac:dyDescent="0.2">
      <c r="B144" s="62" t="s">
        <v>123</v>
      </c>
      <c r="C144" s="42">
        <v>0.6</v>
      </c>
      <c r="D144" s="42">
        <v>0.6</v>
      </c>
      <c r="E144" s="63">
        <f>D144+E89</f>
        <v>1</v>
      </c>
    </row>
    <row r="145" spans="2:7" outlineLevel="1" x14ac:dyDescent="0.2">
      <c r="B145" s="48" t="s">
        <v>124</v>
      </c>
      <c r="C145" s="49">
        <f t="shared" ref="C145:D145" si="20">SUM(C142:C144)</f>
        <v>1240.2999999999997</v>
      </c>
      <c r="D145" s="49">
        <f t="shared" si="20"/>
        <v>1255.2999999999997</v>
      </c>
      <c r="E145" s="67">
        <f t="shared" ref="E145" si="21">SUM(E142:E144)</f>
        <v>2469.3154102296294</v>
      </c>
    </row>
    <row r="146" spans="2:7" outlineLevel="1" x14ac:dyDescent="0.2">
      <c r="B146" s="48" t="s">
        <v>125</v>
      </c>
      <c r="C146" s="49">
        <f t="shared" ref="C146:D146" si="22">C145+C140</f>
        <v>4689.8</v>
      </c>
      <c r="D146" s="49">
        <f t="shared" si="22"/>
        <v>4959.5</v>
      </c>
      <c r="E146" s="67">
        <f t="shared" ref="E146" si="23">E145+E140</f>
        <v>4977.9586871396577</v>
      </c>
    </row>
    <row r="147" spans="2:7" outlineLevel="1" x14ac:dyDescent="0.2">
      <c r="B147" s="4"/>
      <c r="C147" s="42"/>
      <c r="D147" s="42"/>
      <c r="E147" s="42"/>
    </row>
    <row r="148" spans="2:7" x14ac:dyDescent="0.2">
      <c r="B148" s="84" t="s">
        <v>126</v>
      </c>
      <c r="C148" s="85"/>
      <c r="D148" s="85"/>
      <c r="E148" s="85"/>
      <c r="G148" s="112"/>
    </row>
    <row r="149" spans="2:7" x14ac:dyDescent="0.2">
      <c r="B149" s="84" t="s">
        <v>127</v>
      </c>
      <c r="C149" s="85"/>
      <c r="D149" s="85"/>
      <c r="E149" s="85"/>
    </row>
    <row r="150" spans="2:7" ht="16" thickBot="1" x14ac:dyDescent="0.25">
      <c r="B150" s="86"/>
      <c r="C150" s="99"/>
      <c r="D150" s="99">
        <f>C149-D149</f>
        <v>0</v>
      </c>
      <c r="E150" s="99">
        <f t="shared" ref="E150" si="24">D149-E149</f>
        <v>0</v>
      </c>
    </row>
    <row r="151" spans="2:7" ht="6" customHeight="1" thickBot="1" x14ac:dyDescent="0.25">
      <c r="C151" s="87"/>
      <c r="D151" s="87"/>
      <c r="E151" s="87"/>
    </row>
    <row r="152" spans="2:7" ht="16" thickBot="1" x14ac:dyDescent="0.25">
      <c r="B152" s="39" t="s">
        <v>128</v>
      </c>
      <c r="C152" s="34" t="s">
        <v>42</v>
      </c>
      <c r="D152" s="34" t="s">
        <v>43</v>
      </c>
      <c r="E152" s="35" t="s">
        <v>44</v>
      </c>
    </row>
    <row r="153" spans="2:7" outlineLevel="1" x14ac:dyDescent="0.2">
      <c r="B153" s="62" t="s">
        <v>129</v>
      </c>
      <c r="C153" s="42">
        <f>C92</f>
        <v>242.79999999999976</v>
      </c>
      <c r="D153" s="42">
        <f>D92</f>
        <v>222.10000000000005</v>
      </c>
      <c r="E153" s="63">
        <f>E92</f>
        <v>1336.4114102296296</v>
      </c>
    </row>
    <row r="154" spans="2:7" outlineLevel="1" x14ac:dyDescent="0.2">
      <c r="B154" s="62" t="s">
        <v>130</v>
      </c>
      <c r="C154" s="42">
        <f>-(C70+C72+C86)</f>
        <v>350.6</v>
      </c>
      <c r="D154" s="42">
        <f>-(D70+D72+D86)</f>
        <v>-406.7</v>
      </c>
      <c r="E154" s="63">
        <f>-(E70+E72+E86)</f>
        <v>436.94100000000003</v>
      </c>
    </row>
    <row r="155" spans="2:7" outlineLevel="1" x14ac:dyDescent="0.2">
      <c r="B155" s="62" t="s">
        <v>131</v>
      </c>
      <c r="C155" s="42">
        <v>-2.4</v>
      </c>
      <c r="D155" s="42">
        <f>-D78-D85</f>
        <v>-0.9</v>
      </c>
      <c r="E155" s="63">
        <v>0</v>
      </c>
    </row>
    <row r="156" spans="2:7" outlineLevel="1" x14ac:dyDescent="0.2">
      <c r="B156" s="62" t="s">
        <v>132</v>
      </c>
      <c r="C156" s="42">
        <f>C89</f>
        <v>0.60000000000000009</v>
      </c>
      <c r="D156" s="42">
        <f>D89</f>
        <v>0.4</v>
      </c>
      <c r="E156" s="63">
        <f>E89</f>
        <v>0.4</v>
      </c>
    </row>
    <row r="157" spans="2:7" outlineLevel="1" x14ac:dyDescent="0.2">
      <c r="B157" s="62" t="s">
        <v>133</v>
      </c>
      <c r="C157" s="42">
        <v>-3.7000000000000028</v>
      </c>
      <c r="D157" s="42">
        <v>23.1</v>
      </c>
      <c r="E157" s="63">
        <f>IFERROR(IF((E111+E109+E113-E128-E130)=0,0,-(E111+E109+E113-E128-E130)+(D111+D109+D113-D128-D130)),"nm")</f>
        <v>-996.23869183990041</v>
      </c>
    </row>
    <row r="158" spans="2:7" outlineLevel="1" x14ac:dyDescent="0.2">
      <c r="B158" s="88" t="s">
        <v>134</v>
      </c>
      <c r="C158" s="69">
        <v>182.99999999999989</v>
      </c>
      <c r="D158" s="69">
        <v>152</v>
      </c>
      <c r="E158" s="70">
        <f>IF((E135+E136+E122)=0,0,E135+E136-D135-D136+D122-E122)</f>
        <v>0</v>
      </c>
    </row>
    <row r="159" spans="2:7" outlineLevel="1" x14ac:dyDescent="0.2">
      <c r="B159" s="3" t="s">
        <v>135</v>
      </c>
      <c r="C159" s="57">
        <f t="shared" ref="C159:E159" si="25">SUM(C153:C158)</f>
        <v>770.89999999999964</v>
      </c>
      <c r="D159" s="57">
        <f t="shared" ref="D159" si="26">SUM(D153:D158)</f>
        <v>-9.9999999999999432</v>
      </c>
      <c r="E159" s="58">
        <f t="shared" si="25"/>
        <v>777.51371838972932</v>
      </c>
    </row>
    <row r="160" spans="2:7" outlineLevel="1" x14ac:dyDescent="0.2">
      <c r="B160" s="4"/>
      <c r="C160" s="42"/>
      <c r="D160" s="42"/>
      <c r="E160" s="63"/>
    </row>
    <row r="161" spans="2:5" outlineLevel="1" x14ac:dyDescent="0.2">
      <c r="B161" s="62" t="s">
        <v>136</v>
      </c>
      <c r="C161" s="42">
        <v>-302.89999999999998</v>
      </c>
      <c r="D161" s="42">
        <v>-438.90000000000003</v>
      </c>
      <c r="E161" s="63">
        <f>IFERROR(E59*E162,0)</f>
        <v>-452.78148983002427</v>
      </c>
    </row>
    <row r="162" spans="2:5" outlineLevel="1" x14ac:dyDescent="0.2">
      <c r="B162" s="59" t="s">
        <v>64</v>
      </c>
      <c r="C162" s="60">
        <f>IFERROR(C161/C$59,"na")</f>
        <v>-0.22791572610985705</v>
      </c>
      <c r="D162" s="60">
        <f>IFERROR(D161/D59,"na")</f>
        <v>-0.31345522068275961</v>
      </c>
      <c r="E162" s="97">
        <f>D162</f>
        <v>-0.31345522068275961</v>
      </c>
    </row>
    <row r="163" spans="2:5" outlineLevel="1" x14ac:dyDescent="0.2">
      <c r="B163" s="62" t="s">
        <v>137</v>
      </c>
      <c r="C163" s="42">
        <v>-68</v>
      </c>
      <c r="D163" s="42">
        <v>-110.7</v>
      </c>
      <c r="E163" s="95">
        <f>D163</f>
        <v>-110.7</v>
      </c>
    </row>
    <row r="164" spans="2:5" outlineLevel="1" x14ac:dyDescent="0.2">
      <c r="B164" s="62" t="s">
        <v>138</v>
      </c>
      <c r="C164" s="42">
        <v>0</v>
      </c>
      <c r="D164" s="42">
        <v>0</v>
      </c>
      <c r="E164" s="95">
        <f t="shared" ref="E164:E166" si="27">D164</f>
        <v>0</v>
      </c>
    </row>
    <row r="165" spans="2:5" outlineLevel="1" x14ac:dyDescent="0.2">
      <c r="B165" s="62" t="s">
        <v>139</v>
      </c>
      <c r="C165" s="42">
        <v>0</v>
      </c>
      <c r="D165" s="42">
        <v>0</v>
      </c>
      <c r="E165" s="95">
        <f t="shared" si="27"/>
        <v>0</v>
      </c>
    </row>
    <row r="166" spans="2:5" outlineLevel="1" x14ac:dyDescent="0.2">
      <c r="B166" s="62" t="s">
        <v>140</v>
      </c>
      <c r="C166" s="42">
        <v>0</v>
      </c>
      <c r="D166" s="42">
        <v>0</v>
      </c>
      <c r="E166" s="95">
        <f t="shared" si="27"/>
        <v>0</v>
      </c>
    </row>
    <row r="167" spans="2:5" outlineLevel="1" x14ac:dyDescent="0.2">
      <c r="B167" s="88" t="s">
        <v>141</v>
      </c>
      <c r="C167" s="69">
        <v>-437</v>
      </c>
      <c r="D167" s="69">
        <v>2.9000000000000057</v>
      </c>
      <c r="E167" s="70">
        <f>IF((E108+E119)=0,0,D108-E108+D119-E119)</f>
        <v>0</v>
      </c>
    </row>
    <row r="168" spans="2:5" outlineLevel="1" x14ac:dyDescent="0.2">
      <c r="B168" s="3" t="s">
        <v>142</v>
      </c>
      <c r="C168" s="57">
        <f t="shared" ref="C168:E168" si="28">SUM(C161,C163:C167)</f>
        <v>-807.9</v>
      </c>
      <c r="D168" s="57">
        <f t="shared" si="28"/>
        <v>-546.70000000000005</v>
      </c>
      <c r="E168" s="58">
        <f t="shared" si="28"/>
        <v>-563.48148983002432</v>
      </c>
    </row>
    <row r="169" spans="2:5" outlineLevel="1" x14ac:dyDescent="0.2">
      <c r="B169" s="4"/>
      <c r="C169" s="42"/>
      <c r="D169" s="42"/>
      <c r="E169" s="63"/>
    </row>
    <row r="170" spans="2:5" outlineLevel="1" x14ac:dyDescent="0.2">
      <c r="B170" s="62" t="s">
        <v>143</v>
      </c>
      <c r="C170" s="42">
        <v>-228.5</v>
      </c>
      <c r="D170" s="42">
        <v>-202.9</v>
      </c>
      <c r="E170" s="63">
        <f>-D102*D95</f>
        <v>-122.79600000000001</v>
      </c>
    </row>
    <row r="171" spans="2:5" outlineLevel="1" x14ac:dyDescent="0.2">
      <c r="B171" s="62" t="s">
        <v>144</v>
      </c>
      <c r="C171" s="42">
        <v>3.9000000000000004</v>
      </c>
      <c r="D171" s="42">
        <v>0</v>
      </c>
      <c r="E171" s="95">
        <f>D171</f>
        <v>0</v>
      </c>
    </row>
    <row r="172" spans="2:5" outlineLevel="1" x14ac:dyDescent="0.2">
      <c r="B172" s="62" t="s">
        <v>145</v>
      </c>
      <c r="C172" s="42">
        <v>447.5</v>
      </c>
      <c r="D172" s="42">
        <v>-2.3999999999999915</v>
      </c>
      <c r="E172" s="95">
        <f>D172</f>
        <v>-2.3999999999999915</v>
      </c>
    </row>
    <row r="173" spans="2:5" outlineLevel="1" x14ac:dyDescent="0.2">
      <c r="B173" s="88" t="s">
        <v>146</v>
      </c>
      <c r="C173" s="69">
        <v>-100.8</v>
      </c>
      <c r="D173" s="69">
        <v>-123.30000000000001</v>
      </c>
      <c r="E173" s="70">
        <f>E137-D137</f>
        <v>0</v>
      </c>
    </row>
    <row r="174" spans="2:5" outlineLevel="1" x14ac:dyDescent="0.2">
      <c r="B174" s="3" t="s">
        <v>147</v>
      </c>
      <c r="C174" s="57">
        <f t="shared" ref="C174:E174" si="29">SUM(C170:C173)</f>
        <v>122.10000000000001</v>
      </c>
      <c r="D174" s="57">
        <f t="shared" si="29"/>
        <v>-328.6</v>
      </c>
      <c r="E174" s="58">
        <f t="shared" si="29"/>
        <v>-125.196</v>
      </c>
    </row>
    <row r="175" spans="2:5" outlineLevel="1" x14ac:dyDescent="0.2">
      <c r="B175" s="4"/>
      <c r="C175" s="42"/>
      <c r="D175" s="42"/>
      <c r="E175" s="63"/>
    </row>
    <row r="176" spans="2:5" outlineLevel="1" x14ac:dyDescent="0.2">
      <c r="B176" s="88" t="s">
        <v>148</v>
      </c>
      <c r="C176" s="69">
        <v>1.7999999999999998</v>
      </c>
      <c r="D176" s="69">
        <v>-1.4000000000000001</v>
      </c>
      <c r="E176" s="98">
        <v>0</v>
      </c>
    </row>
    <row r="177" spans="2:8" outlineLevel="1" x14ac:dyDescent="0.2">
      <c r="B177" s="48" t="s">
        <v>149</v>
      </c>
      <c r="C177" s="49">
        <f t="shared" ref="C177:E177" si="30">C159+C168+C174+C176</f>
        <v>86.899999999999665</v>
      </c>
      <c r="D177" s="49">
        <f t="shared" si="30"/>
        <v>-886.7</v>
      </c>
      <c r="E177" s="67">
        <f t="shared" si="30"/>
        <v>88.836228559705006</v>
      </c>
    </row>
    <row r="178" spans="2:8" outlineLevel="1" x14ac:dyDescent="0.2">
      <c r="B178" s="4"/>
      <c r="C178" s="42"/>
      <c r="D178" s="42"/>
      <c r="E178" s="42"/>
    </row>
    <row r="179" spans="2:8" x14ac:dyDescent="0.2">
      <c r="B179" s="3" t="s">
        <v>150</v>
      </c>
      <c r="C179" s="89"/>
      <c r="D179" s="89"/>
      <c r="E179" s="89"/>
    </row>
    <row r="180" spans="2:8" ht="16" thickBot="1" x14ac:dyDescent="0.25">
      <c r="B180" s="79"/>
      <c r="C180" s="80"/>
      <c r="D180" s="80"/>
      <c r="E180" s="80"/>
      <c r="F180" s="102"/>
      <c r="G180" s="102"/>
      <c r="H180" s="102"/>
    </row>
    <row r="181" spans="2:8" x14ac:dyDescent="0.2">
      <c r="B181" s="4"/>
      <c r="C181" s="90"/>
      <c r="D181" s="90"/>
      <c r="E181" s="90"/>
      <c r="F181" s="102"/>
      <c r="G181" s="102"/>
      <c r="H181" s="102"/>
    </row>
    <row r="182" spans="2:8" x14ac:dyDescent="0.2">
      <c r="B182" t="s">
        <v>170</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K17"/>
  <sheetViews>
    <sheetView showGridLines="0" tabSelected="1" topLeftCell="C6" zoomScale="96" zoomScaleNormal="96" workbookViewId="0">
      <selection activeCell="C38" sqref="C38:C40"/>
    </sheetView>
  </sheetViews>
  <sheetFormatPr baseColWidth="10" defaultColWidth="8.83203125" defaultRowHeight="15" x14ac:dyDescent="0.2"/>
  <cols>
    <col min="1" max="1" width="1.6640625" customWidth="1"/>
    <col min="2" max="9" width="22.1640625" customWidth="1"/>
  </cols>
  <sheetData>
    <row r="2" spans="2:11" ht="16" x14ac:dyDescent="0.2">
      <c r="B2" s="1" t="s">
        <v>0</v>
      </c>
      <c r="C2" s="2"/>
      <c r="D2" s="2"/>
      <c r="E2" s="2"/>
      <c r="F2" s="2"/>
      <c r="G2" s="2"/>
      <c r="H2" s="2"/>
      <c r="I2" s="2"/>
    </row>
    <row r="3" spans="2:11" x14ac:dyDescent="0.2">
      <c r="B3" s="3"/>
      <c r="C3" s="4"/>
      <c r="D3" s="4"/>
      <c r="E3" s="4"/>
      <c r="F3" s="4"/>
      <c r="G3" s="4"/>
      <c r="H3" s="4"/>
    </row>
    <row r="4" spans="2:11" x14ac:dyDescent="0.2">
      <c r="B4" s="5"/>
      <c r="C4" s="122" t="s">
        <v>1</v>
      </c>
      <c r="D4" s="122"/>
      <c r="E4" s="122" t="s">
        <v>161</v>
      </c>
      <c r="F4" s="6" t="s">
        <v>2</v>
      </c>
      <c r="G4" s="6" t="s">
        <v>3</v>
      </c>
      <c r="H4" s="122" t="s">
        <v>162</v>
      </c>
      <c r="I4" s="122"/>
    </row>
    <row r="5" spans="2:11" x14ac:dyDescent="0.2">
      <c r="B5" s="19" t="s">
        <v>4</v>
      </c>
      <c r="C5" s="5" t="s">
        <v>32</v>
      </c>
      <c r="D5" s="5" t="s">
        <v>160</v>
      </c>
      <c r="E5" s="122"/>
      <c r="F5" s="6" t="s">
        <v>43</v>
      </c>
      <c r="G5" s="6" t="s">
        <v>43</v>
      </c>
      <c r="H5" s="6" t="s">
        <v>5</v>
      </c>
      <c r="I5" s="6" t="s">
        <v>6</v>
      </c>
    </row>
    <row r="6" spans="2:11" x14ac:dyDescent="0.2">
      <c r="B6" s="7" t="s">
        <v>7</v>
      </c>
      <c r="C6" s="8"/>
      <c r="D6" s="9">
        <f>Model!C40</f>
        <v>1328.9999999999998</v>
      </c>
      <c r="E6" s="10"/>
      <c r="F6" s="9">
        <f>Model!D40</f>
        <v>1400.2</v>
      </c>
      <c r="G6" s="9">
        <v>1420</v>
      </c>
      <c r="H6" s="10"/>
      <c r="I6" s="10"/>
      <c r="J6" s="106"/>
      <c r="K6" s="106"/>
    </row>
    <row r="7" spans="2:11" x14ac:dyDescent="0.2">
      <c r="B7" s="7" t="s">
        <v>13</v>
      </c>
      <c r="C7" s="8"/>
      <c r="D7" s="9">
        <f>Model!C54</f>
        <v>794.79999999999984</v>
      </c>
      <c r="E7" s="10"/>
      <c r="F7" s="9">
        <f>Model!D54</f>
        <v>1053.3999999999999</v>
      </c>
      <c r="G7" s="9">
        <v>765</v>
      </c>
      <c r="H7" s="10"/>
      <c r="I7" s="10"/>
      <c r="J7" s="106"/>
      <c r="K7" s="106"/>
    </row>
    <row r="8" spans="2:11" x14ac:dyDescent="0.2">
      <c r="B8" s="14" t="s">
        <v>14</v>
      </c>
      <c r="C8" s="13"/>
      <c r="D8" s="13"/>
      <c r="E8" s="10"/>
      <c r="F8" s="13"/>
      <c r="G8" s="13"/>
      <c r="H8" s="10"/>
      <c r="I8" s="10"/>
    </row>
    <row r="9" spans="2:11" x14ac:dyDescent="0.2">
      <c r="B9" s="7" t="s">
        <v>15</v>
      </c>
      <c r="C9" s="8"/>
      <c r="D9" s="9">
        <f>Model!C74</f>
        <v>444.19999999999982</v>
      </c>
      <c r="E9" s="10"/>
      <c r="F9" s="9">
        <f>Model!D74</f>
        <v>344.7000000000001</v>
      </c>
      <c r="G9" s="9">
        <v>360</v>
      </c>
      <c r="H9" s="10"/>
      <c r="I9" s="10"/>
      <c r="J9" s="106"/>
      <c r="K9" s="106"/>
    </row>
    <row r="10" spans="2:11" x14ac:dyDescent="0.2">
      <c r="B10" s="14" t="s">
        <v>14</v>
      </c>
      <c r="C10" s="13"/>
      <c r="D10" s="13"/>
      <c r="E10" s="10"/>
      <c r="F10" s="13"/>
      <c r="G10" s="13"/>
      <c r="H10" s="10"/>
      <c r="I10" s="10"/>
    </row>
    <row r="11" spans="2:11" x14ac:dyDescent="0.2">
      <c r="B11" s="15" t="s">
        <v>16</v>
      </c>
      <c r="C11" s="11"/>
      <c r="D11" s="12">
        <f>Model!C92</f>
        <v>242.79999999999976</v>
      </c>
      <c r="E11" s="13"/>
      <c r="F11" s="12">
        <f>Model!D92</f>
        <v>222.10000000000005</v>
      </c>
      <c r="G11" s="12">
        <v>205</v>
      </c>
      <c r="H11" s="10"/>
      <c r="I11" s="10"/>
      <c r="J11" s="106"/>
      <c r="K11" s="106"/>
    </row>
    <row r="12" spans="2:11" x14ac:dyDescent="0.2">
      <c r="B12" s="16" t="s">
        <v>17</v>
      </c>
      <c r="C12" s="17"/>
      <c r="D12" s="18">
        <f>Model!C101</f>
        <v>0.53518487904336753</v>
      </c>
      <c r="E12" s="13"/>
      <c r="F12" s="18">
        <f>Model!D101</f>
        <v>0.48487477987645583</v>
      </c>
      <c r="G12" s="18">
        <v>0.43</v>
      </c>
      <c r="H12" s="10"/>
      <c r="I12" s="10"/>
      <c r="J12" s="106"/>
      <c r="K12" s="106"/>
    </row>
    <row r="14" spans="2:11" x14ac:dyDescent="0.2">
      <c r="F14" s="102"/>
      <c r="G14" s="102"/>
    </row>
    <row r="15" spans="2:11" x14ac:dyDescent="0.2">
      <c r="G15" s="102"/>
      <c r="H15" s="102"/>
    </row>
    <row r="16" spans="2:11" x14ac:dyDescent="0.2">
      <c r="H16" s="105"/>
    </row>
    <row r="17" spans="7:7" x14ac:dyDescent="0.2">
      <c r="G17" s="102"/>
    </row>
  </sheetData>
  <mergeCells count="3">
    <mergeCell ref="C4:D4"/>
    <mergeCell ref="E4:E5"/>
    <mergeCell ref="H4:I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Model</vt:lpstr>
      <vt:lpstr>Variance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Ashish Abraham Josephpannirselvam</dc:creator>
  <cp:lastModifiedBy>allen aravindan</cp:lastModifiedBy>
  <dcterms:created xsi:type="dcterms:W3CDTF">2018-06-26T16:20:35Z</dcterms:created>
  <dcterms:modified xsi:type="dcterms:W3CDTF">2024-09-30T11:56:55Z</dcterms:modified>
</cp:coreProperties>
</file>